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2.xml" ContentType="application/vnd.openxmlformats-officedocument.drawing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5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6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7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8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9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[Portofolio] Jembatan 3 Bentang PC I Girder/Spreadsheet Perhitungan/"/>
    </mc:Choice>
  </mc:AlternateContent>
  <xr:revisionPtr revIDLastSave="4053" documentId="13_ncr:1_{E955B086-73EA-4533-87CB-BA317E029DFB}" xr6:coauthVersionLast="47" xr6:coauthVersionMax="47" xr10:uidLastSave="{636DBCD2-0D40-41B6-9008-839000496579}"/>
  <bookViews>
    <workbookView xWindow="-120" yWindow="-120" windowWidth="29040" windowHeight="15720" tabRatio="842" xr2:uid="{3444E752-B3BC-4845-B3F5-28E71B983B37}"/>
  </bookViews>
  <sheets>
    <sheet name="About" sheetId="21" r:id="rId1"/>
    <sheet name="Input (1)" sheetId="14" r:id="rId2"/>
    <sheet name="Tabel" sheetId="22" state="hidden" r:id="rId3"/>
    <sheet name="Respon Spektrum" sheetId="23" state="hidden" r:id="rId4"/>
    <sheet name="Input (2) &amp; Process (1)" sheetId="15" r:id="rId5"/>
    <sheet name="Process (2)" sheetId="1" r:id="rId6"/>
    <sheet name="Process (3)" sheetId="2" r:id="rId7"/>
    <sheet name="Input (3) &amp; Process (4)" sheetId="3" r:id="rId8"/>
    <sheet name="Process (5)" sheetId="5" r:id="rId9"/>
    <sheet name="Process (6)" sheetId="12" r:id="rId10"/>
    <sheet name="Process (7)" sheetId="13" r:id="rId11"/>
    <sheet name="Input (4) &amp; Process (8)" sheetId="24" r:id="rId12"/>
    <sheet name="Output" sheetId="26" r:id="rId13"/>
    <sheet name="Report" sheetId="2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2" i="25" l="1"/>
  <c r="C431" i="25"/>
  <c r="C430" i="25"/>
  <c r="C429" i="25"/>
  <c r="C428" i="25"/>
  <c r="C427" i="25"/>
  <c r="C426" i="25"/>
  <c r="C425" i="25"/>
  <c r="C424" i="25"/>
  <c r="C423" i="25"/>
  <c r="C422" i="25"/>
  <c r="C421" i="25"/>
  <c r="C420" i="25"/>
  <c r="C419" i="25"/>
  <c r="C418" i="25"/>
  <c r="C417" i="25"/>
  <c r="C416" i="25"/>
  <c r="C415" i="25"/>
  <c r="C414" i="25"/>
  <c r="C413" i="25"/>
  <c r="C412" i="25"/>
  <c r="D207" i="25"/>
  <c r="D206" i="25"/>
  <c r="D205" i="25"/>
  <c r="D204" i="25"/>
  <c r="D203" i="25"/>
  <c r="D202" i="25"/>
  <c r="D201" i="25"/>
  <c r="D200" i="25"/>
  <c r="D199" i="25"/>
  <c r="D198" i="25"/>
  <c r="D197" i="25"/>
  <c r="D196" i="25"/>
  <c r="D195" i="25"/>
  <c r="D194" i="25"/>
  <c r="D193" i="25"/>
  <c r="D192" i="25"/>
  <c r="D191" i="25"/>
  <c r="D190" i="25"/>
  <c r="D189" i="25"/>
  <c r="D188" i="25"/>
  <c r="D187" i="25"/>
  <c r="C175" i="25"/>
  <c r="C174" i="25"/>
  <c r="C173" i="25"/>
  <c r="C172" i="25"/>
  <c r="H165" i="25"/>
  <c r="H164" i="25"/>
  <c r="H163" i="25"/>
  <c r="H162" i="25"/>
  <c r="H161" i="25"/>
  <c r="H160" i="25"/>
  <c r="H159" i="25"/>
  <c r="F164" i="25"/>
  <c r="F163" i="25"/>
  <c r="F162" i="25"/>
  <c r="F161" i="25"/>
  <c r="F160" i="25"/>
  <c r="F159" i="25"/>
  <c r="D246" i="26"/>
  <c r="D247" i="26"/>
  <c r="D248" i="26"/>
  <c r="D249" i="26"/>
  <c r="D250" i="26"/>
  <c r="D251" i="26"/>
  <c r="D252" i="26"/>
  <c r="D253" i="26"/>
  <c r="D254" i="26"/>
  <c r="D255" i="26"/>
  <c r="D256" i="26"/>
  <c r="D257" i="26"/>
  <c r="D258" i="26"/>
  <c r="D259" i="26"/>
  <c r="D260" i="26"/>
  <c r="D261" i="26"/>
  <c r="D262" i="26"/>
  <c r="D263" i="26"/>
  <c r="D264" i="26"/>
  <c r="D265" i="26"/>
  <c r="D245" i="26"/>
  <c r="G209" i="26"/>
  <c r="F377" i="25" s="1"/>
  <c r="G208" i="26"/>
  <c r="F376" i="25" s="1"/>
  <c r="G207" i="26"/>
  <c r="F375" i="25" s="1"/>
  <c r="G206" i="26"/>
  <c r="F374" i="25" s="1"/>
  <c r="G197" i="26"/>
  <c r="F364" i="25" s="1"/>
  <c r="G196" i="26"/>
  <c r="F363" i="25" s="1"/>
  <c r="G194" i="26"/>
  <c r="F361" i="25" s="1"/>
  <c r="G193" i="26"/>
  <c r="F360" i="25" s="1"/>
  <c r="G189" i="26"/>
  <c r="F356" i="25" s="1"/>
  <c r="G188" i="26"/>
  <c r="F355" i="25" s="1"/>
  <c r="G186" i="26"/>
  <c r="F353" i="25" s="1"/>
  <c r="G185" i="26"/>
  <c r="F352" i="25" s="1"/>
  <c r="G181" i="26"/>
  <c r="F348" i="25" s="1"/>
  <c r="G180" i="26"/>
  <c r="F347" i="25" s="1"/>
  <c r="G178" i="26"/>
  <c r="F345" i="25" s="1"/>
  <c r="G177" i="26"/>
  <c r="F344" i="25" s="1"/>
  <c r="H37" i="26"/>
  <c r="G186" i="25" s="1"/>
  <c r="I37" i="26"/>
  <c r="H186" i="25" s="1"/>
  <c r="D28" i="26"/>
  <c r="D29" i="26"/>
  <c r="D30" i="26"/>
  <c r="D27" i="26"/>
  <c r="I20" i="26"/>
  <c r="I19" i="26"/>
  <c r="I18" i="26"/>
  <c r="I17" i="26"/>
  <c r="I16" i="26"/>
  <c r="I15" i="26"/>
  <c r="I14" i="26"/>
  <c r="G19" i="26"/>
  <c r="G18" i="26"/>
  <c r="G17" i="26"/>
  <c r="G16" i="26"/>
  <c r="G15" i="26"/>
  <c r="G14" i="26"/>
  <c r="E1558" i="25" l="1"/>
  <c r="F206" i="26" s="1"/>
  <c r="E374" i="25" s="1"/>
  <c r="B1906" i="25" l="1"/>
  <c r="B1930" i="25" s="1"/>
  <c r="C265" i="26" s="1"/>
  <c r="B432" i="25" s="1"/>
  <c r="B1905" i="25"/>
  <c r="B1929" i="25" s="1"/>
  <c r="C264" i="26" s="1"/>
  <c r="B431" i="25" s="1"/>
  <c r="B1904" i="25"/>
  <c r="B1928" i="25" s="1"/>
  <c r="C263" i="26" s="1"/>
  <c r="B430" i="25" s="1"/>
  <c r="B1903" i="25"/>
  <c r="B1927" i="25" s="1"/>
  <c r="C262" i="26" s="1"/>
  <c r="B429" i="25" s="1"/>
  <c r="B1902" i="25"/>
  <c r="B1926" i="25" s="1"/>
  <c r="C261" i="26" s="1"/>
  <c r="B428" i="25" s="1"/>
  <c r="B1901" i="25"/>
  <c r="B1925" i="25" s="1"/>
  <c r="C260" i="26" s="1"/>
  <c r="B427" i="25" s="1"/>
  <c r="B1900" i="25"/>
  <c r="B1924" i="25" s="1"/>
  <c r="C259" i="26" s="1"/>
  <c r="B426" i="25" s="1"/>
  <c r="B1899" i="25"/>
  <c r="B1923" i="25" s="1"/>
  <c r="C258" i="26" s="1"/>
  <c r="B425" i="25" s="1"/>
  <c r="B1898" i="25"/>
  <c r="B1922" i="25" s="1"/>
  <c r="C257" i="26" s="1"/>
  <c r="B424" i="25" s="1"/>
  <c r="B1897" i="25"/>
  <c r="B1921" i="25" s="1"/>
  <c r="C256" i="26" s="1"/>
  <c r="B423" i="25" s="1"/>
  <c r="B1896" i="25"/>
  <c r="B1920" i="25" s="1"/>
  <c r="C255" i="26" s="1"/>
  <c r="B422" i="25" s="1"/>
  <c r="B1895" i="25"/>
  <c r="B1919" i="25" s="1"/>
  <c r="C254" i="26" s="1"/>
  <c r="B421" i="25" s="1"/>
  <c r="B1894" i="25"/>
  <c r="B1918" i="25" s="1"/>
  <c r="C253" i="26" s="1"/>
  <c r="B420" i="25" s="1"/>
  <c r="B1893" i="25"/>
  <c r="B1917" i="25" s="1"/>
  <c r="C252" i="26" s="1"/>
  <c r="B419" i="25" s="1"/>
  <c r="B1892" i="25"/>
  <c r="B1916" i="25" s="1"/>
  <c r="C251" i="26" s="1"/>
  <c r="B418" i="25" s="1"/>
  <c r="B1891" i="25"/>
  <c r="B1915" i="25" s="1"/>
  <c r="C250" i="26" s="1"/>
  <c r="B417" i="25" s="1"/>
  <c r="B1890" i="25"/>
  <c r="B1914" i="25" s="1"/>
  <c r="C249" i="26" s="1"/>
  <c r="B416" i="25" s="1"/>
  <c r="B1889" i="25"/>
  <c r="B1913" i="25" s="1"/>
  <c r="C248" i="26" s="1"/>
  <c r="B415" i="25" s="1"/>
  <c r="B1888" i="25"/>
  <c r="B1912" i="25" s="1"/>
  <c r="C247" i="26" s="1"/>
  <c r="B414" i="25" s="1"/>
  <c r="B1887" i="25"/>
  <c r="B1911" i="25" s="1"/>
  <c r="C246" i="26" s="1"/>
  <c r="B413" i="25" s="1"/>
  <c r="C1910" i="25"/>
  <c r="B1886" i="25"/>
  <c r="B1910" i="25" s="1"/>
  <c r="C245" i="26" s="1"/>
  <c r="B412" i="25" s="1"/>
  <c r="B1875" i="25"/>
  <c r="B1874" i="25"/>
  <c r="B1873" i="25"/>
  <c r="B1872" i="25"/>
  <c r="B1871" i="25"/>
  <c r="B1870" i="25"/>
  <c r="B1869" i="25"/>
  <c r="B1868" i="25"/>
  <c r="B1867" i="25"/>
  <c r="B1866" i="25"/>
  <c r="B1865" i="25"/>
  <c r="B1864" i="25"/>
  <c r="B1863" i="25"/>
  <c r="B1862" i="25"/>
  <c r="B1861" i="25"/>
  <c r="B1860" i="25"/>
  <c r="B1859" i="25"/>
  <c r="B1858" i="25"/>
  <c r="B1857" i="25"/>
  <c r="B1856" i="25"/>
  <c r="B1855" i="25"/>
  <c r="E1851" i="25"/>
  <c r="C1851" i="25"/>
  <c r="B1851" i="25"/>
  <c r="E1850" i="25"/>
  <c r="C1850" i="25"/>
  <c r="B1850" i="25"/>
  <c r="E1849" i="25"/>
  <c r="C1849" i="25"/>
  <c r="B1849" i="25"/>
  <c r="E1848" i="25"/>
  <c r="C1848" i="25"/>
  <c r="B1848" i="25"/>
  <c r="E1847" i="25"/>
  <c r="C1847" i="25"/>
  <c r="B1847" i="25"/>
  <c r="E1846" i="25"/>
  <c r="C1846" i="25"/>
  <c r="B1846" i="25"/>
  <c r="E1845" i="25"/>
  <c r="C1845" i="25"/>
  <c r="B1845" i="25"/>
  <c r="E1844" i="25"/>
  <c r="C1844" i="25"/>
  <c r="B1844" i="25"/>
  <c r="E1843" i="25"/>
  <c r="C1843" i="25"/>
  <c r="B1843" i="25"/>
  <c r="E1842" i="25"/>
  <c r="C1842" i="25"/>
  <c r="B1842" i="25"/>
  <c r="E1841" i="25"/>
  <c r="C1841" i="25"/>
  <c r="B1841" i="25"/>
  <c r="E1840" i="25"/>
  <c r="C1840" i="25"/>
  <c r="B1840" i="25"/>
  <c r="E1839" i="25"/>
  <c r="C1839" i="25"/>
  <c r="B1839" i="25"/>
  <c r="E1838" i="25"/>
  <c r="C1838" i="25"/>
  <c r="B1838" i="25"/>
  <c r="E1837" i="25"/>
  <c r="C1837" i="25"/>
  <c r="B1837" i="25"/>
  <c r="E1836" i="25"/>
  <c r="C1836" i="25"/>
  <c r="B1836" i="25"/>
  <c r="E1835" i="25"/>
  <c r="C1835" i="25"/>
  <c r="B1835" i="25"/>
  <c r="E1834" i="25"/>
  <c r="C1834" i="25"/>
  <c r="B1834" i="25"/>
  <c r="E1833" i="25"/>
  <c r="C1833" i="25"/>
  <c r="B1833" i="25"/>
  <c r="E1832" i="25"/>
  <c r="C1832" i="25"/>
  <c r="B1832" i="25"/>
  <c r="F1831" i="25"/>
  <c r="E1831" i="25"/>
  <c r="C1831" i="25"/>
  <c r="B1831" i="25"/>
  <c r="H1806" i="25"/>
  <c r="H1805" i="25"/>
  <c r="H1804" i="25"/>
  <c r="H1803" i="25"/>
  <c r="H1798" i="25"/>
  <c r="H1797" i="25"/>
  <c r="H1795" i="25"/>
  <c r="H1794" i="25"/>
  <c r="H1793" i="25"/>
  <c r="H1791" i="25"/>
  <c r="H1790" i="25"/>
  <c r="H1789" i="25"/>
  <c r="E1784" i="25"/>
  <c r="F238" i="26" s="1"/>
  <c r="E406" i="25" s="1"/>
  <c r="H1753" i="25"/>
  <c r="H1752" i="25"/>
  <c r="H1751" i="25"/>
  <c r="H1748" i="25"/>
  <c r="H1745" i="25"/>
  <c r="H1743" i="25"/>
  <c r="H1742" i="25"/>
  <c r="F1741" i="25"/>
  <c r="C1739" i="25"/>
  <c r="E1739" i="25"/>
  <c r="H1736" i="25"/>
  <c r="E1731" i="25"/>
  <c r="E1730" i="25"/>
  <c r="E1729" i="25"/>
  <c r="E1728" i="25"/>
  <c r="C1731" i="25"/>
  <c r="C1730" i="25"/>
  <c r="C1729" i="25"/>
  <c r="C1728" i="25"/>
  <c r="E1725" i="25"/>
  <c r="E1724" i="25"/>
  <c r="E1723" i="25"/>
  <c r="C1726" i="25"/>
  <c r="C1725" i="25"/>
  <c r="C1724" i="25"/>
  <c r="C1723" i="25"/>
  <c r="H1708" i="25"/>
  <c r="H1707" i="25"/>
  <c r="H1704" i="25"/>
  <c r="H1702" i="25"/>
  <c r="H1701" i="25"/>
  <c r="H1700" i="25"/>
  <c r="H1699" i="25"/>
  <c r="H1696" i="25"/>
  <c r="H1695" i="25"/>
  <c r="H1694" i="25"/>
  <c r="H1693" i="25"/>
  <c r="H1692" i="25"/>
  <c r="H1691" i="25"/>
  <c r="H1690" i="25"/>
  <c r="H1683" i="25"/>
  <c r="I227" i="26" s="1"/>
  <c r="H395" i="25" s="1"/>
  <c r="E1685" i="25"/>
  <c r="C1685" i="25"/>
  <c r="E1680" i="25"/>
  <c r="F224" i="26" s="1"/>
  <c r="E392" i="25" s="1"/>
  <c r="E1676" i="25"/>
  <c r="F220" i="26" s="1"/>
  <c r="E388" i="25" s="1"/>
  <c r="H1670" i="25"/>
  <c r="I1670" i="25" s="1"/>
  <c r="H1668" i="25"/>
  <c r="H1667" i="25"/>
  <c r="H1664" i="25"/>
  <c r="H1663" i="25"/>
  <c r="H1659" i="25"/>
  <c r="I1659" i="25" s="1"/>
  <c r="H1658" i="25"/>
  <c r="H1655" i="25"/>
  <c r="H1654" i="25"/>
  <c r="H1647" i="25"/>
  <c r="I1647" i="25" s="1"/>
  <c r="H1645" i="25"/>
  <c r="H1639" i="25"/>
  <c r="H1636" i="25"/>
  <c r="H1634" i="25"/>
  <c r="H1633" i="25"/>
  <c r="H1632" i="25"/>
  <c r="E1629" i="25"/>
  <c r="H1619" i="25"/>
  <c r="H1618" i="25"/>
  <c r="H1617" i="25"/>
  <c r="H1616" i="25"/>
  <c r="E1612" i="25"/>
  <c r="H1602" i="25"/>
  <c r="E1598" i="25"/>
  <c r="H1593" i="25"/>
  <c r="H1591" i="25"/>
  <c r="H1590" i="25"/>
  <c r="C1582" i="25"/>
  <c r="E1582" i="25"/>
  <c r="H1579" i="25"/>
  <c r="H1577" i="25"/>
  <c r="H1576" i="25"/>
  <c r="H1575" i="25"/>
  <c r="H1574" i="25"/>
  <c r="H1573" i="25"/>
  <c r="H1570" i="25"/>
  <c r="H1569" i="25"/>
  <c r="H1568" i="25"/>
  <c r="H1559" i="25"/>
  <c r="I207" i="26" s="1"/>
  <c r="H375" i="25" s="1"/>
  <c r="G1559" i="25"/>
  <c r="H207" i="26" s="1"/>
  <c r="G375" i="25" s="1"/>
  <c r="E1559" i="25"/>
  <c r="F207" i="26" s="1"/>
  <c r="E375" i="25" s="1"/>
  <c r="H1558" i="25"/>
  <c r="I206" i="26" s="1"/>
  <c r="H374" i="25" s="1"/>
  <c r="G1558" i="25"/>
  <c r="H206" i="26" s="1"/>
  <c r="G374" i="25" s="1"/>
  <c r="C1556" i="25"/>
  <c r="C1555" i="25"/>
  <c r="C1554" i="25"/>
  <c r="C1553" i="25"/>
  <c r="C1534" i="25"/>
  <c r="C1533" i="25"/>
  <c r="C1525" i="25"/>
  <c r="C1526" i="25"/>
  <c r="H1518" i="25"/>
  <c r="I178" i="26" s="1"/>
  <c r="H345" i="25" s="1"/>
  <c r="G1518" i="25"/>
  <c r="H178" i="26" s="1"/>
  <c r="G345" i="25" s="1"/>
  <c r="E1518" i="25"/>
  <c r="F178" i="26" s="1"/>
  <c r="E345" i="25" s="1"/>
  <c r="H1517" i="25"/>
  <c r="I177" i="26" s="1"/>
  <c r="H344" i="25" s="1"/>
  <c r="G1517" i="25"/>
  <c r="H177" i="26" s="1"/>
  <c r="G344" i="25" s="1"/>
  <c r="E1517" i="25"/>
  <c r="F177" i="26" s="1"/>
  <c r="E344" i="25" s="1"/>
  <c r="C1518" i="25"/>
  <c r="C1517" i="25"/>
  <c r="H1503" i="25"/>
  <c r="H1501" i="25"/>
  <c r="H1500" i="25"/>
  <c r="H1499" i="25"/>
  <c r="H1498" i="25"/>
  <c r="H1497" i="25"/>
  <c r="H1496" i="25"/>
  <c r="H1495" i="25"/>
  <c r="H1494" i="25"/>
  <c r="H1493" i="25"/>
  <c r="H1492" i="25"/>
  <c r="H1491" i="25"/>
  <c r="H1490" i="25"/>
  <c r="H1489" i="25"/>
  <c r="H1468" i="25"/>
  <c r="H1467" i="25"/>
  <c r="H1466" i="25"/>
  <c r="H1465" i="25"/>
  <c r="H1464" i="25"/>
  <c r="H1463" i="25"/>
  <c r="H1462" i="25"/>
  <c r="H1446" i="25"/>
  <c r="H1445" i="25"/>
  <c r="H1444" i="25"/>
  <c r="H1443" i="25"/>
  <c r="H1442" i="25"/>
  <c r="H1441" i="25"/>
  <c r="H1426" i="25"/>
  <c r="H1425" i="25"/>
  <c r="H1424" i="25"/>
  <c r="H1423" i="25"/>
  <c r="H1422" i="25"/>
  <c r="H1421" i="25"/>
  <c r="H1407" i="25"/>
  <c r="H1406" i="25"/>
  <c r="H1405" i="25"/>
  <c r="H1404" i="25"/>
  <c r="H1403" i="25"/>
  <c r="H1402" i="25"/>
  <c r="H1401" i="25"/>
  <c r="H1400" i="25"/>
  <c r="H1399" i="25"/>
  <c r="H1398" i="25"/>
  <c r="H1384" i="25"/>
  <c r="H1383" i="25"/>
  <c r="H1382" i="25"/>
  <c r="H1381" i="25"/>
  <c r="H1380" i="25"/>
  <c r="H1379" i="25"/>
  <c r="H1377" i="25"/>
  <c r="H1376" i="25"/>
  <c r="H1362" i="25"/>
  <c r="H1361" i="25"/>
  <c r="H1359" i="25"/>
  <c r="H1358" i="25"/>
  <c r="H1356" i="25"/>
  <c r="F1320" i="25"/>
  <c r="G86" i="26" s="1"/>
  <c r="F243" i="25" s="1"/>
  <c r="E1309" i="25"/>
  <c r="E1308" i="25"/>
  <c r="E1307" i="25"/>
  <c r="C1309" i="25"/>
  <c r="C1308" i="25"/>
  <c r="C1307" i="25"/>
  <c r="H1305" i="25"/>
  <c r="H1286" i="25"/>
  <c r="E1287" i="25"/>
  <c r="E1286" i="25"/>
  <c r="E1285" i="25"/>
  <c r="E1284" i="25"/>
  <c r="E1283" i="25"/>
  <c r="E1282" i="25"/>
  <c r="H1265" i="25"/>
  <c r="E1262" i="25"/>
  <c r="E1261" i="25"/>
  <c r="E1260" i="25"/>
  <c r="E1259" i="25"/>
  <c r="E1258" i="25"/>
  <c r="E1257" i="25"/>
  <c r="H1210" i="25"/>
  <c r="H1209" i="25"/>
  <c r="H1202" i="25"/>
  <c r="G1148" i="25"/>
  <c r="I36" i="26" s="1"/>
  <c r="H185" i="25" s="1"/>
  <c r="F1148" i="25"/>
  <c r="H36" i="26" s="1"/>
  <c r="G185" i="25" s="1"/>
  <c r="E1149" i="25"/>
  <c r="G37" i="26" s="1"/>
  <c r="F186" i="25" s="1"/>
  <c r="D1149" i="25"/>
  <c r="F37" i="26" s="1"/>
  <c r="E186" i="25" s="1"/>
  <c r="E1148" i="25"/>
  <c r="G36" i="26" s="1"/>
  <c r="F185" i="25" s="1"/>
  <c r="D1148" i="25"/>
  <c r="F36" i="26" s="1"/>
  <c r="E185" i="25" s="1"/>
  <c r="I1170" i="25"/>
  <c r="H1170" i="25"/>
  <c r="G1170" i="25"/>
  <c r="I58" i="26" s="1"/>
  <c r="H207" i="25" s="1"/>
  <c r="F1170" i="25"/>
  <c r="H58" i="26" s="1"/>
  <c r="G207" i="25" s="1"/>
  <c r="E1170" i="25"/>
  <c r="G58" i="26" s="1"/>
  <c r="F207" i="25" s="1"/>
  <c r="D1170" i="25"/>
  <c r="F58" i="26" s="1"/>
  <c r="E207" i="25" s="1"/>
  <c r="C1170" i="25"/>
  <c r="D58" i="26" s="1"/>
  <c r="C207" i="25" s="1"/>
  <c r="B1170" i="25"/>
  <c r="C58" i="26" s="1"/>
  <c r="B207" i="25" s="1"/>
  <c r="I1169" i="25"/>
  <c r="H1169" i="25"/>
  <c r="G1169" i="25"/>
  <c r="I57" i="26" s="1"/>
  <c r="H206" i="25" s="1"/>
  <c r="F1169" i="25"/>
  <c r="H57" i="26" s="1"/>
  <c r="G206" i="25" s="1"/>
  <c r="E1169" i="25"/>
  <c r="G57" i="26" s="1"/>
  <c r="F206" i="25" s="1"/>
  <c r="D1169" i="25"/>
  <c r="F57" i="26" s="1"/>
  <c r="E206" i="25" s="1"/>
  <c r="C1169" i="25"/>
  <c r="D57" i="26" s="1"/>
  <c r="C206" i="25" s="1"/>
  <c r="B1169" i="25"/>
  <c r="C57" i="26" s="1"/>
  <c r="B206" i="25" s="1"/>
  <c r="I1168" i="25"/>
  <c r="H1168" i="25"/>
  <c r="G1168" i="25"/>
  <c r="I56" i="26" s="1"/>
  <c r="H205" i="25" s="1"/>
  <c r="F1168" i="25"/>
  <c r="H56" i="26" s="1"/>
  <c r="G205" i="25" s="1"/>
  <c r="E1168" i="25"/>
  <c r="G56" i="26" s="1"/>
  <c r="F205" i="25" s="1"/>
  <c r="D1168" i="25"/>
  <c r="F56" i="26" s="1"/>
  <c r="E205" i="25" s="1"/>
  <c r="C1168" i="25"/>
  <c r="D56" i="26" s="1"/>
  <c r="C205" i="25" s="1"/>
  <c r="B1168" i="25"/>
  <c r="C56" i="26" s="1"/>
  <c r="B205" i="25" s="1"/>
  <c r="I1167" i="25"/>
  <c r="H1167" i="25"/>
  <c r="G1167" i="25"/>
  <c r="I55" i="26" s="1"/>
  <c r="H204" i="25" s="1"/>
  <c r="F1167" i="25"/>
  <c r="H55" i="26" s="1"/>
  <c r="G204" i="25" s="1"/>
  <c r="E1167" i="25"/>
  <c r="G55" i="26" s="1"/>
  <c r="F204" i="25" s="1"/>
  <c r="D1167" i="25"/>
  <c r="F55" i="26" s="1"/>
  <c r="E204" i="25" s="1"/>
  <c r="C1167" i="25"/>
  <c r="D55" i="26" s="1"/>
  <c r="C204" i="25" s="1"/>
  <c r="B1167" i="25"/>
  <c r="C55" i="26" s="1"/>
  <c r="B204" i="25" s="1"/>
  <c r="I1166" i="25"/>
  <c r="H1166" i="25"/>
  <c r="G1166" i="25"/>
  <c r="I54" i="26" s="1"/>
  <c r="H203" i="25" s="1"/>
  <c r="F1166" i="25"/>
  <c r="H54" i="26" s="1"/>
  <c r="G203" i="25" s="1"/>
  <c r="E1166" i="25"/>
  <c r="G54" i="26" s="1"/>
  <c r="F203" i="25" s="1"/>
  <c r="D1166" i="25"/>
  <c r="F54" i="26" s="1"/>
  <c r="E203" i="25" s="1"/>
  <c r="C1166" i="25"/>
  <c r="D54" i="26" s="1"/>
  <c r="C203" i="25" s="1"/>
  <c r="B1166" i="25"/>
  <c r="C54" i="26" s="1"/>
  <c r="B203" i="25" s="1"/>
  <c r="I1165" i="25"/>
  <c r="H1165" i="25"/>
  <c r="G1165" i="25"/>
  <c r="I53" i="26" s="1"/>
  <c r="H202" i="25" s="1"/>
  <c r="F1165" i="25"/>
  <c r="H53" i="26" s="1"/>
  <c r="G202" i="25" s="1"/>
  <c r="E1165" i="25"/>
  <c r="G53" i="26" s="1"/>
  <c r="F202" i="25" s="1"/>
  <c r="D1165" i="25"/>
  <c r="F53" i="26" s="1"/>
  <c r="E202" i="25" s="1"/>
  <c r="C1165" i="25"/>
  <c r="D53" i="26" s="1"/>
  <c r="C202" i="25" s="1"/>
  <c r="B1165" i="25"/>
  <c r="C53" i="26" s="1"/>
  <c r="B202" i="25" s="1"/>
  <c r="I1164" i="25"/>
  <c r="H1164" i="25"/>
  <c r="G1164" i="25"/>
  <c r="I52" i="26" s="1"/>
  <c r="H201" i="25" s="1"/>
  <c r="F1164" i="25"/>
  <c r="H52" i="26" s="1"/>
  <c r="G201" i="25" s="1"/>
  <c r="E1164" i="25"/>
  <c r="G52" i="26" s="1"/>
  <c r="F201" i="25" s="1"/>
  <c r="D1164" i="25"/>
  <c r="F52" i="26" s="1"/>
  <c r="E201" i="25" s="1"/>
  <c r="C1164" i="25"/>
  <c r="D52" i="26" s="1"/>
  <c r="C201" i="25" s="1"/>
  <c r="B1164" i="25"/>
  <c r="C52" i="26" s="1"/>
  <c r="B201" i="25" s="1"/>
  <c r="I1163" i="25"/>
  <c r="H1163" i="25"/>
  <c r="G1163" i="25"/>
  <c r="I51" i="26" s="1"/>
  <c r="H200" i="25" s="1"/>
  <c r="F1163" i="25"/>
  <c r="H51" i="26" s="1"/>
  <c r="G200" i="25" s="1"/>
  <c r="E1163" i="25"/>
  <c r="G51" i="26" s="1"/>
  <c r="F200" i="25" s="1"/>
  <c r="D1163" i="25"/>
  <c r="F51" i="26" s="1"/>
  <c r="E200" i="25" s="1"/>
  <c r="C1163" i="25"/>
  <c r="D51" i="26" s="1"/>
  <c r="C200" i="25" s="1"/>
  <c r="B1163" i="25"/>
  <c r="C51" i="26" s="1"/>
  <c r="B200" i="25" s="1"/>
  <c r="I1162" i="25"/>
  <c r="H1162" i="25"/>
  <c r="G1162" i="25"/>
  <c r="I50" i="26" s="1"/>
  <c r="H199" i="25" s="1"/>
  <c r="F1162" i="25"/>
  <c r="H50" i="26" s="1"/>
  <c r="G199" i="25" s="1"/>
  <c r="E1162" i="25"/>
  <c r="G50" i="26" s="1"/>
  <c r="F199" i="25" s="1"/>
  <c r="D1162" i="25"/>
  <c r="F50" i="26" s="1"/>
  <c r="E199" i="25" s="1"/>
  <c r="C1162" i="25"/>
  <c r="D50" i="26" s="1"/>
  <c r="C199" i="25" s="1"/>
  <c r="B1162" i="25"/>
  <c r="C50" i="26" s="1"/>
  <c r="B199" i="25" s="1"/>
  <c r="I1161" i="25"/>
  <c r="H1161" i="25"/>
  <c r="G1161" i="25"/>
  <c r="I49" i="26" s="1"/>
  <c r="H198" i="25" s="1"/>
  <c r="F1161" i="25"/>
  <c r="H49" i="26" s="1"/>
  <c r="G198" i="25" s="1"/>
  <c r="E1161" i="25"/>
  <c r="G49" i="26" s="1"/>
  <c r="F198" i="25" s="1"/>
  <c r="D1161" i="25"/>
  <c r="F49" i="26" s="1"/>
  <c r="E198" i="25" s="1"/>
  <c r="C1161" i="25"/>
  <c r="D49" i="26" s="1"/>
  <c r="C198" i="25" s="1"/>
  <c r="B1161" i="25"/>
  <c r="C49" i="26" s="1"/>
  <c r="B198" i="25" s="1"/>
  <c r="I1160" i="25"/>
  <c r="H1160" i="25"/>
  <c r="G1160" i="25"/>
  <c r="I48" i="26" s="1"/>
  <c r="H197" i="25" s="1"/>
  <c r="F1160" i="25"/>
  <c r="H48" i="26" s="1"/>
  <c r="G197" i="25" s="1"/>
  <c r="E1160" i="25"/>
  <c r="G48" i="26" s="1"/>
  <c r="F197" i="25" s="1"/>
  <c r="D1160" i="25"/>
  <c r="F48" i="26" s="1"/>
  <c r="E197" i="25" s="1"/>
  <c r="C1160" i="25"/>
  <c r="D48" i="26" s="1"/>
  <c r="C197" i="25" s="1"/>
  <c r="B1160" i="25"/>
  <c r="C48" i="26" s="1"/>
  <c r="B197" i="25" s="1"/>
  <c r="I1159" i="25"/>
  <c r="H1159" i="25"/>
  <c r="G1159" i="25"/>
  <c r="I47" i="26" s="1"/>
  <c r="H196" i="25" s="1"/>
  <c r="F1159" i="25"/>
  <c r="H47" i="26" s="1"/>
  <c r="G196" i="25" s="1"/>
  <c r="E1159" i="25"/>
  <c r="G47" i="26" s="1"/>
  <c r="F196" i="25" s="1"/>
  <c r="D1159" i="25"/>
  <c r="F47" i="26" s="1"/>
  <c r="E196" i="25" s="1"/>
  <c r="C1159" i="25"/>
  <c r="D47" i="26" s="1"/>
  <c r="C196" i="25" s="1"/>
  <c r="B1159" i="25"/>
  <c r="C47" i="26" s="1"/>
  <c r="B196" i="25" s="1"/>
  <c r="I1158" i="25"/>
  <c r="H1158" i="25"/>
  <c r="G1158" i="25"/>
  <c r="I46" i="26" s="1"/>
  <c r="H195" i="25" s="1"/>
  <c r="F1158" i="25"/>
  <c r="H46" i="26" s="1"/>
  <c r="G195" i="25" s="1"/>
  <c r="E1158" i="25"/>
  <c r="G46" i="26" s="1"/>
  <c r="F195" i="25" s="1"/>
  <c r="D1158" i="25"/>
  <c r="F46" i="26" s="1"/>
  <c r="E195" i="25" s="1"/>
  <c r="C1158" i="25"/>
  <c r="D46" i="26" s="1"/>
  <c r="C195" i="25" s="1"/>
  <c r="B1158" i="25"/>
  <c r="C46" i="26" s="1"/>
  <c r="B195" i="25" s="1"/>
  <c r="I1157" i="25"/>
  <c r="H1157" i="25"/>
  <c r="G1157" i="25"/>
  <c r="I45" i="26" s="1"/>
  <c r="H194" i="25" s="1"/>
  <c r="F1157" i="25"/>
  <c r="H45" i="26" s="1"/>
  <c r="G194" i="25" s="1"/>
  <c r="E1157" i="25"/>
  <c r="G45" i="26" s="1"/>
  <c r="F194" i="25" s="1"/>
  <c r="D1157" i="25"/>
  <c r="F45" i="26" s="1"/>
  <c r="E194" i="25" s="1"/>
  <c r="C1157" i="25"/>
  <c r="D45" i="26" s="1"/>
  <c r="C194" i="25" s="1"/>
  <c r="B1157" i="25"/>
  <c r="C45" i="26" s="1"/>
  <c r="B194" i="25" s="1"/>
  <c r="I1156" i="25"/>
  <c r="H1156" i="25"/>
  <c r="G1156" i="25"/>
  <c r="I44" i="26" s="1"/>
  <c r="H193" i="25" s="1"/>
  <c r="F1156" i="25"/>
  <c r="H44" i="26" s="1"/>
  <c r="G193" i="25" s="1"/>
  <c r="E1156" i="25"/>
  <c r="G44" i="26" s="1"/>
  <c r="F193" i="25" s="1"/>
  <c r="D1156" i="25"/>
  <c r="F44" i="26" s="1"/>
  <c r="E193" i="25" s="1"/>
  <c r="C1156" i="25"/>
  <c r="D44" i="26" s="1"/>
  <c r="C193" i="25" s="1"/>
  <c r="B1156" i="25"/>
  <c r="C44" i="26" s="1"/>
  <c r="B193" i="25" s="1"/>
  <c r="I1155" i="25"/>
  <c r="H1155" i="25"/>
  <c r="G1155" i="25"/>
  <c r="I43" i="26" s="1"/>
  <c r="H192" i="25" s="1"/>
  <c r="F1155" i="25"/>
  <c r="H43" i="26" s="1"/>
  <c r="G192" i="25" s="1"/>
  <c r="E1155" i="25"/>
  <c r="G43" i="26" s="1"/>
  <c r="F192" i="25" s="1"/>
  <c r="D1155" i="25"/>
  <c r="F43" i="26" s="1"/>
  <c r="E192" i="25" s="1"/>
  <c r="C1155" i="25"/>
  <c r="D43" i="26" s="1"/>
  <c r="C192" i="25" s="1"/>
  <c r="B1155" i="25"/>
  <c r="C43" i="26" s="1"/>
  <c r="B192" i="25" s="1"/>
  <c r="I1154" i="25"/>
  <c r="H1154" i="25"/>
  <c r="G1154" i="25"/>
  <c r="I42" i="26" s="1"/>
  <c r="H191" i="25" s="1"/>
  <c r="F1154" i="25"/>
  <c r="H42" i="26" s="1"/>
  <c r="G191" i="25" s="1"/>
  <c r="E1154" i="25"/>
  <c r="G42" i="26" s="1"/>
  <c r="F191" i="25" s="1"/>
  <c r="D1154" i="25"/>
  <c r="F42" i="26" s="1"/>
  <c r="E191" i="25" s="1"/>
  <c r="C1154" i="25"/>
  <c r="D42" i="26" s="1"/>
  <c r="C191" i="25" s="1"/>
  <c r="B1154" i="25"/>
  <c r="C42" i="26" s="1"/>
  <c r="B191" i="25" s="1"/>
  <c r="I1153" i="25"/>
  <c r="H1153" i="25"/>
  <c r="G1153" i="25"/>
  <c r="I41" i="26" s="1"/>
  <c r="H190" i="25" s="1"/>
  <c r="F1153" i="25"/>
  <c r="H41" i="26" s="1"/>
  <c r="G190" i="25" s="1"/>
  <c r="E1153" i="25"/>
  <c r="G41" i="26" s="1"/>
  <c r="F190" i="25" s="1"/>
  <c r="D1153" i="25"/>
  <c r="F41" i="26" s="1"/>
  <c r="E190" i="25" s="1"/>
  <c r="C1153" i="25"/>
  <c r="D41" i="26" s="1"/>
  <c r="C190" i="25" s="1"/>
  <c r="B1153" i="25"/>
  <c r="C41" i="26" s="1"/>
  <c r="B190" i="25" s="1"/>
  <c r="I1152" i="25"/>
  <c r="H1152" i="25"/>
  <c r="G1152" i="25"/>
  <c r="I40" i="26" s="1"/>
  <c r="H189" i="25" s="1"/>
  <c r="F1152" i="25"/>
  <c r="H40" i="26" s="1"/>
  <c r="G189" i="25" s="1"/>
  <c r="E1152" i="25"/>
  <c r="G40" i="26" s="1"/>
  <c r="F189" i="25" s="1"/>
  <c r="D1152" i="25"/>
  <c r="F40" i="26" s="1"/>
  <c r="E189" i="25" s="1"/>
  <c r="C1152" i="25"/>
  <c r="D40" i="26" s="1"/>
  <c r="C189" i="25" s="1"/>
  <c r="B1152" i="25"/>
  <c r="C40" i="26" s="1"/>
  <c r="B189" i="25" s="1"/>
  <c r="I1151" i="25"/>
  <c r="H1151" i="25"/>
  <c r="G1151" i="25"/>
  <c r="I39" i="26" s="1"/>
  <c r="H188" i="25" s="1"/>
  <c r="F1151" i="25"/>
  <c r="H39" i="26" s="1"/>
  <c r="G188" i="25" s="1"/>
  <c r="E1151" i="25"/>
  <c r="G39" i="26" s="1"/>
  <c r="F188" i="25" s="1"/>
  <c r="D1151" i="25"/>
  <c r="F39" i="26" s="1"/>
  <c r="E188" i="25" s="1"/>
  <c r="C1151" i="25"/>
  <c r="D39" i="26" s="1"/>
  <c r="C188" i="25" s="1"/>
  <c r="B1151" i="25"/>
  <c r="C39" i="26" s="1"/>
  <c r="B188" i="25" s="1"/>
  <c r="I1150" i="25"/>
  <c r="H1150" i="25"/>
  <c r="G1150" i="25"/>
  <c r="I38" i="26" s="1"/>
  <c r="H187" i="25" s="1"/>
  <c r="F1150" i="25"/>
  <c r="H38" i="26" s="1"/>
  <c r="G187" i="25" s="1"/>
  <c r="E1150" i="25"/>
  <c r="G38" i="26" s="1"/>
  <c r="F187" i="25" s="1"/>
  <c r="D1150" i="25"/>
  <c r="F38" i="26" s="1"/>
  <c r="E187" i="25" s="1"/>
  <c r="C1150" i="25"/>
  <c r="D38" i="26" s="1"/>
  <c r="C187" i="25" s="1"/>
  <c r="B1150" i="25"/>
  <c r="C38" i="26" s="1"/>
  <c r="B187" i="25" s="1"/>
  <c r="S36" i="2"/>
  <c r="R36" i="2"/>
  <c r="Q36" i="2"/>
  <c r="P36" i="2"/>
  <c r="Q35" i="2"/>
  <c r="P35" i="2"/>
  <c r="S34" i="2"/>
  <c r="R34" i="2"/>
  <c r="Q34" i="2"/>
  <c r="P34" i="2"/>
  <c r="D1087" i="25"/>
  <c r="I1091" i="25"/>
  <c r="H1091" i="25"/>
  <c r="C1091" i="25"/>
  <c r="B1091" i="25"/>
  <c r="H1076" i="25"/>
  <c r="C1076" i="25"/>
  <c r="B1076" i="25"/>
  <c r="C30" i="26" s="1"/>
  <c r="I1090" i="25"/>
  <c r="H1090" i="25"/>
  <c r="C1090" i="25"/>
  <c r="B1090" i="25"/>
  <c r="H1075" i="25"/>
  <c r="C1075" i="25"/>
  <c r="B1075" i="25"/>
  <c r="C29" i="26" s="1"/>
  <c r="I1089" i="25"/>
  <c r="H1089" i="25"/>
  <c r="C1089" i="25"/>
  <c r="B1089" i="25"/>
  <c r="H1074" i="25"/>
  <c r="C1074" i="25"/>
  <c r="B1074" i="25"/>
  <c r="C28" i="26" s="1"/>
  <c r="I1088" i="25"/>
  <c r="H1088" i="25"/>
  <c r="C1088" i="25"/>
  <c r="B1088" i="25"/>
  <c r="H1073" i="25"/>
  <c r="C1073" i="25"/>
  <c r="B1073" i="25"/>
  <c r="C27" i="26" s="1"/>
  <c r="E1057" i="25"/>
  <c r="C1057" i="25"/>
  <c r="H1054" i="25"/>
  <c r="H1053" i="25"/>
  <c r="H1052" i="25"/>
  <c r="H1050" i="25"/>
  <c r="H1049" i="25"/>
  <c r="E1047" i="25"/>
  <c r="E1046" i="25"/>
  <c r="E1045" i="25"/>
  <c r="E1044" i="25"/>
  <c r="E1043" i="25"/>
  <c r="C1046" i="25"/>
  <c r="C1045" i="25"/>
  <c r="C1044" i="25"/>
  <c r="C1043" i="25"/>
  <c r="H1039" i="25"/>
  <c r="H1038" i="25"/>
  <c r="H1037" i="25"/>
  <c r="H1036" i="25"/>
  <c r="H1035" i="25"/>
  <c r="E1039" i="25"/>
  <c r="E1038" i="25"/>
  <c r="E1037" i="25"/>
  <c r="E1036" i="25"/>
  <c r="E1035" i="25"/>
  <c r="G1034" i="25"/>
  <c r="C1024" i="25"/>
  <c r="H1021" i="25"/>
  <c r="H1020" i="25"/>
  <c r="H1019" i="25"/>
  <c r="H1018" i="25"/>
  <c r="H1017" i="25"/>
  <c r="H1015" i="25"/>
  <c r="H1014" i="25"/>
  <c r="H1013" i="25"/>
  <c r="G1012" i="25"/>
  <c r="E1015" i="25"/>
  <c r="E1014" i="25"/>
  <c r="E1013" i="25"/>
  <c r="H988" i="25"/>
  <c r="H987" i="25"/>
  <c r="H986" i="25"/>
  <c r="H984" i="25"/>
  <c r="H983" i="25"/>
  <c r="H982" i="25"/>
  <c r="H980" i="25"/>
  <c r="H979" i="25"/>
  <c r="H978" i="25"/>
  <c r="H965" i="25"/>
  <c r="H964" i="25"/>
  <c r="H963" i="25"/>
  <c r="H962" i="25"/>
  <c r="H961" i="25"/>
  <c r="H960" i="25"/>
  <c r="H957" i="25"/>
  <c r="F954" i="25"/>
  <c r="D954" i="25"/>
  <c r="B954" i="25"/>
  <c r="C949" i="25"/>
  <c r="H945" i="25"/>
  <c r="H944" i="25"/>
  <c r="H942" i="25"/>
  <c r="H940" i="25"/>
  <c r="H939" i="25"/>
  <c r="H936" i="25"/>
  <c r="H935" i="25"/>
  <c r="H934" i="25"/>
  <c r="H933" i="25"/>
  <c r="H932" i="25"/>
  <c r="H929" i="25"/>
  <c r="H928" i="25"/>
  <c r="H927" i="25"/>
  <c r="H922" i="25"/>
  <c r="H921" i="25"/>
  <c r="H920" i="25"/>
  <c r="H919" i="25"/>
  <c r="H918" i="25"/>
  <c r="H917" i="25"/>
  <c r="H916" i="25"/>
  <c r="H915" i="25"/>
  <c r="H914" i="25"/>
  <c r="H882" i="25"/>
  <c r="H881" i="25"/>
  <c r="H880" i="25"/>
  <c r="H879" i="25"/>
  <c r="H878" i="25"/>
  <c r="H877" i="25"/>
  <c r="H876" i="25"/>
  <c r="H875" i="25"/>
  <c r="D873" i="25"/>
  <c r="H873" i="25"/>
  <c r="G873" i="25"/>
  <c r="F873" i="25"/>
  <c r="H872" i="25"/>
  <c r="G872" i="25"/>
  <c r="F872" i="25"/>
  <c r="E872" i="25"/>
  <c r="D872" i="25"/>
  <c r="C872" i="25"/>
  <c r="B872" i="25"/>
  <c r="H871" i="25"/>
  <c r="G871" i="25"/>
  <c r="F871" i="25"/>
  <c r="E871" i="25"/>
  <c r="D871" i="25"/>
  <c r="C871" i="25"/>
  <c r="B871" i="25"/>
  <c r="H870" i="25"/>
  <c r="G870" i="25"/>
  <c r="F870" i="25"/>
  <c r="E870" i="25"/>
  <c r="D870" i="25"/>
  <c r="C870" i="25"/>
  <c r="B870" i="25"/>
  <c r="H869" i="25"/>
  <c r="G869" i="25"/>
  <c r="F869" i="25"/>
  <c r="E869" i="25"/>
  <c r="D869" i="25"/>
  <c r="C869" i="25"/>
  <c r="B869" i="25"/>
  <c r="H868" i="25"/>
  <c r="G868" i="25"/>
  <c r="F868" i="25"/>
  <c r="E868" i="25"/>
  <c r="D868" i="25"/>
  <c r="C868" i="25"/>
  <c r="B868" i="25"/>
  <c r="H867" i="25"/>
  <c r="G867" i="25"/>
  <c r="F867" i="25"/>
  <c r="E867" i="25"/>
  <c r="D867" i="25"/>
  <c r="C867" i="25"/>
  <c r="B867" i="25"/>
  <c r="H866" i="25"/>
  <c r="G866" i="25"/>
  <c r="F866" i="25"/>
  <c r="E866" i="25"/>
  <c r="D866" i="25"/>
  <c r="C866" i="25"/>
  <c r="B866" i="25"/>
  <c r="H843" i="25"/>
  <c r="H842" i="25"/>
  <c r="H841" i="25"/>
  <c r="H840" i="25"/>
  <c r="H839" i="25"/>
  <c r="H838" i="25"/>
  <c r="H837" i="25"/>
  <c r="H835" i="25"/>
  <c r="G835" i="25"/>
  <c r="F835" i="25"/>
  <c r="D835" i="25"/>
  <c r="H834" i="25"/>
  <c r="G834" i="25"/>
  <c r="F834" i="25"/>
  <c r="E834" i="25"/>
  <c r="D834" i="25"/>
  <c r="C834" i="25"/>
  <c r="B834" i="25"/>
  <c r="H833" i="25"/>
  <c r="G833" i="25"/>
  <c r="F833" i="25"/>
  <c r="E833" i="25"/>
  <c r="D833" i="25"/>
  <c r="C833" i="25"/>
  <c r="B833" i="25"/>
  <c r="H832" i="25"/>
  <c r="G832" i="25"/>
  <c r="F832" i="25"/>
  <c r="E832" i="25"/>
  <c r="D832" i="25"/>
  <c r="C832" i="25"/>
  <c r="B832" i="25"/>
  <c r="H831" i="25"/>
  <c r="G831" i="25"/>
  <c r="F831" i="25"/>
  <c r="E831" i="25"/>
  <c r="D831" i="25"/>
  <c r="C831" i="25"/>
  <c r="B831" i="25"/>
  <c r="H830" i="25"/>
  <c r="G830" i="25"/>
  <c r="F830" i="25"/>
  <c r="E830" i="25"/>
  <c r="D830" i="25"/>
  <c r="C830" i="25"/>
  <c r="B830" i="25"/>
  <c r="H829" i="25"/>
  <c r="G829" i="25"/>
  <c r="F829" i="25"/>
  <c r="E829" i="25"/>
  <c r="D829" i="25"/>
  <c r="C829" i="25"/>
  <c r="B829" i="25"/>
  <c r="H809" i="25"/>
  <c r="H808" i="25"/>
  <c r="H807" i="25"/>
  <c r="H805" i="25"/>
  <c r="H804" i="25"/>
  <c r="H803" i="25"/>
  <c r="H802" i="25"/>
  <c r="H801" i="25"/>
  <c r="H785" i="25"/>
  <c r="H784" i="25"/>
  <c r="H783" i="25"/>
  <c r="H782" i="25"/>
  <c r="H781" i="25"/>
  <c r="H780" i="25"/>
  <c r="H779" i="25"/>
  <c r="F784" i="25"/>
  <c r="F783" i="25"/>
  <c r="F782" i="25"/>
  <c r="F781" i="25"/>
  <c r="F780" i="25"/>
  <c r="F779" i="25"/>
  <c r="B1038" i="25"/>
  <c r="B1037" i="25"/>
  <c r="I715" i="25"/>
  <c r="H715" i="25"/>
  <c r="G715" i="25"/>
  <c r="F715" i="25"/>
  <c r="E715" i="25"/>
  <c r="D715" i="25"/>
  <c r="C715" i="25"/>
  <c r="I691" i="25"/>
  <c r="H691" i="25"/>
  <c r="G691" i="25"/>
  <c r="F691" i="25"/>
  <c r="D691" i="25"/>
  <c r="G712" i="25"/>
  <c r="G711" i="25"/>
  <c r="G710" i="25"/>
  <c r="G709" i="25"/>
  <c r="G708" i="25"/>
  <c r="G707" i="25"/>
  <c r="G706" i="25"/>
  <c r="G705" i="25"/>
  <c r="G704" i="25"/>
  <c r="G703" i="25"/>
  <c r="G702" i="25"/>
  <c r="G701" i="25"/>
  <c r="G700" i="25"/>
  <c r="G699" i="25"/>
  <c r="G698" i="25"/>
  <c r="G697" i="25"/>
  <c r="G696" i="25"/>
  <c r="G695" i="25"/>
  <c r="G694" i="25"/>
  <c r="G693" i="25"/>
  <c r="G692" i="25"/>
  <c r="C691" i="25"/>
  <c r="I664" i="25"/>
  <c r="H664" i="25"/>
  <c r="G664" i="25"/>
  <c r="F664" i="25"/>
  <c r="E664" i="25"/>
  <c r="D664" i="25"/>
  <c r="C664" i="25"/>
  <c r="H598" i="25"/>
  <c r="H593" i="25"/>
  <c r="H559" i="25"/>
  <c r="H558" i="25"/>
  <c r="H557" i="25"/>
  <c r="H543" i="25"/>
  <c r="H530" i="25"/>
  <c r="H495" i="25"/>
  <c r="H474" i="25"/>
  <c r="D123" i="25"/>
  <c r="H122" i="25"/>
  <c r="G122" i="25"/>
  <c r="F122" i="25"/>
  <c r="E122" i="25"/>
  <c r="D122" i="25"/>
  <c r="C122" i="25"/>
  <c r="B122" i="25"/>
  <c r="H121" i="25"/>
  <c r="G121" i="25"/>
  <c r="F121" i="25"/>
  <c r="E121" i="25"/>
  <c r="D121" i="25"/>
  <c r="C121" i="25"/>
  <c r="B121" i="25"/>
  <c r="H120" i="25"/>
  <c r="G120" i="25"/>
  <c r="F120" i="25"/>
  <c r="E120" i="25"/>
  <c r="D120" i="25"/>
  <c r="C120" i="25"/>
  <c r="B120" i="25"/>
  <c r="H119" i="25"/>
  <c r="G119" i="25"/>
  <c r="F119" i="25"/>
  <c r="E119" i="25"/>
  <c r="D119" i="25"/>
  <c r="C119" i="25"/>
  <c r="B119" i="25"/>
  <c r="H114" i="25"/>
  <c r="H113" i="25"/>
  <c r="H112" i="25"/>
  <c r="H110" i="25"/>
  <c r="H109" i="25"/>
  <c r="H108" i="25"/>
  <c r="H107" i="25"/>
  <c r="H106" i="25"/>
  <c r="H103" i="25"/>
  <c r="H101" i="25"/>
  <c r="H100" i="25"/>
  <c r="H99" i="25"/>
  <c r="H88" i="25"/>
  <c r="H87" i="25"/>
  <c r="H86" i="25"/>
  <c r="H85" i="25"/>
  <c r="G84" i="25"/>
  <c r="F64" i="25"/>
  <c r="H63" i="25"/>
  <c r="H62" i="25"/>
  <c r="H61" i="25"/>
  <c r="H60" i="25"/>
  <c r="H59" i="25"/>
  <c r="H58" i="25"/>
  <c r="E57" i="25"/>
  <c r="H53" i="25"/>
  <c r="H52" i="25"/>
  <c r="H51" i="25"/>
  <c r="H50" i="25"/>
  <c r="H49" i="25"/>
  <c r="H48" i="25"/>
  <c r="H45" i="25"/>
  <c r="H44" i="25"/>
  <c r="H43" i="25"/>
  <c r="H42" i="25"/>
  <c r="H39" i="25"/>
  <c r="H38" i="25"/>
  <c r="H36" i="25"/>
  <c r="H35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29" i="26" l="1"/>
  <c r="B174" i="25"/>
  <c r="H28" i="26"/>
  <c r="B173" i="25"/>
  <c r="H27" i="26"/>
  <c r="B172" i="25"/>
  <c r="H30" i="26"/>
  <c r="B175" i="25"/>
  <c r="D229" i="26"/>
  <c r="C397" i="25" s="1"/>
  <c r="F229" i="26"/>
  <c r="E397" i="25" s="1"/>
  <c r="I1655" i="25"/>
  <c r="C1558" i="25"/>
  <c r="D206" i="26" s="1"/>
  <c r="C374" i="25" s="1"/>
  <c r="D201" i="26"/>
  <c r="C369" i="25" s="1"/>
  <c r="C1528" i="25"/>
  <c r="D188" i="26" s="1"/>
  <c r="C355" i="25" s="1"/>
  <c r="D185" i="26"/>
  <c r="C352" i="25" s="1"/>
  <c r="C1559" i="25"/>
  <c r="D207" i="26" s="1"/>
  <c r="C375" i="25" s="1"/>
  <c r="D202" i="26"/>
  <c r="C370" i="25" s="1"/>
  <c r="C1536" i="25"/>
  <c r="D196" i="26" s="1"/>
  <c r="C363" i="25" s="1"/>
  <c r="D193" i="26"/>
  <c r="C360" i="25" s="1"/>
  <c r="C1560" i="25"/>
  <c r="D208" i="26" s="1"/>
  <c r="C376" i="25" s="1"/>
  <c r="D203" i="26"/>
  <c r="C371" i="25" s="1"/>
  <c r="C1537" i="25"/>
  <c r="D197" i="26" s="1"/>
  <c r="C364" i="25" s="1"/>
  <c r="D194" i="26"/>
  <c r="C361" i="25" s="1"/>
  <c r="C1561" i="25"/>
  <c r="D209" i="26" s="1"/>
  <c r="C377" i="25" s="1"/>
  <c r="D204" i="26"/>
  <c r="C372" i="25" s="1"/>
  <c r="C1529" i="25"/>
  <c r="D189" i="26" s="1"/>
  <c r="C356" i="25" s="1"/>
  <c r="D186" i="26"/>
  <c r="C353" i="25" s="1"/>
  <c r="C1520" i="25"/>
  <c r="D180" i="26" s="1"/>
  <c r="C347" i="25" s="1"/>
  <c r="D177" i="26"/>
  <c r="C344" i="25" s="1"/>
  <c r="C1521" i="25"/>
  <c r="D181" i="26" s="1"/>
  <c r="C348" i="25" s="1"/>
  <c r="D178" i="26"/>
  <c r="C345" i="25" s="1"/>
  <c r="I1664" i="25"/>
  <c r="I28" i="26" l="1"/>
  <c r="H173" i="25" s="1"/>
  <c r="G173" i="25"/>
  <c r="I29" i="26"/>
  <c r="H174" i="25" s="1"/>
  <c r="G174" i="25"/>
  <c r="H397" i="25"/>
  <c r="D397" i="25"/>
  <c r="I27" i="26"/>
  <c r="H172" i="25" s="1"/>
  <c r="G172" i="25"/>
  <c r="I30" i="26"/>
  <c r="H175" i="25" s="1"/>
  <c r="G175" i="25"/>
  <c r="E229" i="26"/>
  <c r="I229" i="26"/>
  <c r="D1739" i="25"/>
  <c r="H1739" i="25"/>
  <c r="H1685" i="25"/>
  <c r="D1685" i="25"/>
  <c r="I1579" i="25" l="1"/>
  <c r="D1582" i="25" l="1"/>
  <c r="H1582" i="25"/>
  <c r="H1024" i="25"/>
  <c r="H1057" i="25"/>
  <c r="E954" i="25" l="1"/>
  <c r="D949" i="25"/>
  <c r="H949" i="25"/>
  <c r="H954" i="25" l="1"/>
  <c r="C954" i="25"/>
  <c r="I8" i="24" l="1"/>
  <c r="I4" i="24"/>
  <c r="O112" i="22"/>
  <c r="O113" i="22"/>
  <c r="O114" i="22"/>
  <c r="O111" i="22"/>
  <c r="P112" i="22"/>
  <c r="P113" i="22"/>
  <c r="P114" i="22"/>
  <c r="P111" i="22"/>
  <c r="N112" i="22"/>
  <c r="N113" i="22"/>
  <c r="N114" i="22"/>
  <c r="N111" i="22"/>
  <c r="M112" i="22"/>
  <c r="M113" i="22"/>
  <c r="M114" i="22"/>
  <c r="M111" i="22"/>
  <c r="L112" i="22"/>
  <c r="L113" i="22"/>
  <c r="L114" i="22"/>
  <c r="L111" i="22"/>
  <c r="K112" i="22"/>
  <c r="K113" i="22"/>
  <c r="K114" i="22"/>
  <c r="K111" i="22"/>
  <c r="G124" i="22"/>
  <c r="I122" i="22" s="1"/>
  <c r="K122" i="22" s="1"/>
  <c r="H9" i="5"/>
  <c r="G102" i="22"/>
  <c r="G106" i="22" s="1"/>
  <c r="X82" i="22"/>
  <c r="G82" i="22"/>
  <c r="G83" i="22" s="1"/>
  <c r="X62" i="22"/>
  <c r="X66" i="22" s="1"/>
  <c r="K52" i="22"/>
  <c r="M52" i="22" s="1"/>
  <c r="G62" i="22"/>
  <c r="N53" i="22"/>
  <c r="N54" i="22"/>
  <c r="N52" i="22"/>
  <c r="L55" i="22"/>
  <c r="N55" i="22" s="1"/>
  <c r="H8" i="5"/>
  <c r="G37" i="22"/>
  <c r="I3" i="23"/>
  <c r="H147" i="15" s="1"/>
  <c r="H597" i="25" s="1"/>
  <c r="I4" i="23"/>
  <c r="G21" i="23" s="1"/>
  <c r="G34" i="23" s="1"/>
  <c r="I2" i="23"/>
  <c r="F26" i="23" s="1"/>
  <c r="E50" i="23" s="1"/>
  <c r="A51" i="23"/>
  <c r="A52" i="23" s="1"/>
  <c r="A53" i="23" s="1"/>
  <c r="H13" i="23" l="1"/>
  <c r="H26" i="23" s="1"/>
  <c r="I50" i="23" s="1"/>
  <c r="G128" i="22"/>
  <c r="G125" i="22"/>
  <c r="I102" i="22"/>
  <c r="I106" i="22" s="1"/>
  <c r="G103" i="22"/>
  <c r="Z82" i="22"/>
  <c r="X86" i="22"/>
  <c r="X83" i="22"/>
  <c r="K54" i="22"/>
  <c r="M54" i="22" s="1"/>
  <c r="I82" i="22"/>
  <c r="G86" i="22"/>
  <c r="Z62" i="22"/>
  <c r="X63" i="22"/>
  <c r="K53" i="22"/>
  <c r="M53" i="22" s="1"/>
  <c r="I62" i="22"/>
  <c r="I63" i="22" s="1"/>
  <c r="G66" i="22"/>
  <c r="G63" i="22"/>
  <c r="I13" i="23"/>
  <c r="I26" i="23" s="1"/>
  <c r="K50" i="23" s="1"/>
  <c r="I17" i="23"/>
  <c r="I30" i="23" s="1"/>
  <c r="K51" i="23" s="1"/>
  <c r="H21" i="23"/>
  <c r="H34" i="23" s="1"/>
  <c r="I79" i="23" s="1"/>
  <c r="G17" i="23"/>
  <c r="G30" i="23" s="1"/>
  <c r="G51" i="23" s="1"/>
  <c r="I21" i="23"/>
  <c r="I34" i="23" s="1"/>
  <c r="E30" i="23"/>
  <c r="C51" i="23" s="1"/>
  <c r="H17" i="23"/>
  <c r="H30" i="23" s="1"/>
  <c r="I52" i="23" s="1"/>
  <c r="F30" i="23"/>
  <c r="E51" i="23" s="1"/>
  <c r="E34" i="23"/>
  <c r="C79" i="23" s="1"/>
  <c r="F34" i="23"/>
  <c r="E79" i="23" s="1"/>
  <c r="G13" i="23"/>
  <c r="G26" i="23" s="1"/>
  <c r="G50" i="23" s="1"/>
  <c r="G38" i="22"/>
  <c r="E26" i="23"/>
  <c r="C50" i="23" s="1"/>
  <c r="A54" i="23"/>
  <c r="I87" i="23"/>
  <c r="G79" i="23"/>
  <c r="I85" i="23"/>
  <c r="I40" i="23" l="1"/>
  <c r="K102" i="22"/>
  <c r="M102" i="22" s="1"/>
  <c r="I103" i="22"/>
  <c r="K55" i="22"/>
  <c r="K106" i="22"/>
  <c r="K103" i="22"/>
  <c r="Z86" i="22"/>
  <c r="Z83" i="22"/>
  <c r="AB82" i="22"/>
  <c r="I83" i="22"/>
  <c r="I86" i="22"/>
  <c r="K82" i="22"/>
  <c r="Z66" i="22"/>
  <c r="Z63" i="22"/>
  <c r="AB62" i="22"/>
  <c r="K62" i="22"/>
  <c r="M55" i="22"/>
  <c r="O52" i="22" s="1"/>
  <c r="O53" i="22" s="1"/>
  <c r="O55" i="22" s="1"/>
  <c r="I66" i="22"/>
  <c r="I86" i="23"/>
  <c r="H149" i="15"/>
  <c r="H599" i="25" s="1"/>
  <c r="E52" i="23"/>
  <c r="K52" i="23"/>
  <c r="G40" i="23"/>
  <c r="F52" i="23" s="1"/>
  <c r="F53" i="23" s="1"/>
  <c r="G53" i="23" s="1"/>
  <c r="C52" i="23"/>
  <c r="K79" i="23"/>
  <c r="H40" i="23"/>
  <c r="H52" i="23" s="1"/>
  <c r="H53" i="23" s="1"/>
  <c r="I53" i="23" s="1"/>
  <c r="I51" i="23"/>
  <c r="F40" i="23"/>
  <c r="D52" i="23" s="1"/>
  <c r="D53" i="23" s="1"/>
  <c r="E53" i="23" s="1"/>
  <c r="G52" i="23"/>
  <c r="E40" i="23"/>
  <c r="B52" i="23" s="1"/>
  <c r="J52" i="23"/>
  <c r="J53" i="23" s="1"/>
  <c r="K53" i="23" s="1"/>
  <c r="I44" i="23"/>
  <c r="J51" i="23" s="1"/>
  <c r="A55" i="23"/>
  <c r="E44" i="23" l="1"/>
  <c r="B51" i="23" s="1"/>
  <c r="I128" i="22"/>
  <c r="M122" i="22"/>
  <c r="I123" i="22"/>
  <c r="B53" i="23"/>
  <c r="C53" i="23" s="1"/>
  <c r="B76" i="23"/>
  <c r="M106" i="22"/>
  <c r="M103" i="22"/>
  <c r="AB86" i="22"/>
  <c r="AB83" i="22"/>
  <c r="AB84" i="22" s="1"/>
  <c r="AD82" i="22"/>
  <c r="AB85" i="22"/>
  <c r="K83" i="22"/>
  <c r="K86" i="22"/>
  <c r="M82" i="22"/>
  <c r="AB66" i="22"/>
  <c r="AB63" i="22"/>
  <c r="AB64" i="22" s="1"/>
  <c r="AD62" i="22"/>
  <c r="AB65" i="22"/>
  <c r="O54" i="22"/>
  <c r="M62" i="22"/>
  <c r="K66" i="22"/>
  <c r="K63" i="22"/>
  <c r="G44" i="23"/>
  <c r="F51" i="23" s="1"/>
  <c r="I84" i="23"/>
  <c r="F44" i="23"/>
  <c r="D51" i="23" s="1"/>
  <c r="H44" i="23"/>
  <c r="H51" i="23" s="1"/>
  <c r="B54" i="23"/>
  <c r="C54" i="23" s="1"/>
  <c r="H54" i="23"/>
  <c r="I54" i="23" s="1"/>
  <c r="F54" i="23"/>
  <c r="G54" i="23" s="1"/>
  <c r="J54" i="23"/>
  <c r="K54" i="23" s="1"/>
  <c r="H55" i="23"/>
  <c r="I55" i="23" s="1"/>
  <c r="F55" i="23"/>
  <c r="G55" i="23" s="1"/>
  <c r="D55" i="23"/>
  <c r="E55" i="23" s="1"/>
  <c r="B55" i="23"/>
  <c r="C55" i="23" s="1"/>
  <c r="A56" i="23"/>
  <c r="J55" i="23"/>
  <c r="K55" i="23" s="1"/>
  <c r="D54" i="23"/>
  <c r="E54" i="23" s="1"/>
  <c r="K128" i="22" l="1"/>
  <c r="K123" i="22"/>
  <c r="M128" i="22"/>
  <c r="M123" i="22"/>
  <c r="AD86" i="22"/>
  <c r="AD83" i="22"/>
  <c r="M86" i="22"/>
  <c r="M83" i="22"/>
  <c r="AD66" i="22"/>
  <c r="AD63" i="22"/>
  <c r="M63" i="22"/>
  <c r="M66" i="22"/>
  <c r="I83" i="23"/>
  <c r="A57" i="23"/>
  <c r="J56" i="23"/>
  <c r="K56" i="23" s="1"/>
  <c r="F56" i="23"/>
  <c r="G56" i="23" s="1"/>
  <c r="H56" i="23"/>
  <c r="I56" i="23" s="1"/>
  <c r="D56" i="23"/>
  <c r="E56" i="23" s="1"/>
  <c r="B56" i="23"/>
  <c r="C56" i="23" s="1"/>
  <c r="B57" i="23" l="1"/>
  <c r="C57" i="23" s="1"/>
  <c r="D57" i="23"/>
  <c r="E57" i="23" s="1"/>
  <c r="A58" i="23"/>
  <c r="J57" i="23"/>
  <c r="K57" i="23" s="1"/>
  <c r="H57" i="23"/>
  <c r="I57" i="23" s="1"/>
  <c r="F57" i="23"/>
  <c r="G57" i="23" s="1"/>
  <c r="H58" i="23" l="1"/>
  <c r="I58" i="23" s="1"/>
  <c r="F58" i="23"/>
  <c r="G58" i="23" s="1"/>
  <c r="D58" i="23"/>
  <c r="E58" i="23" s="1"/>
  <c r="B58" i="23"/>
  <c r="C58" i="23" s="1"/>
  <c r="A59" i="23"/>
  <c r="J58" i="23"/>
  <c r="K58" i="23" s="1"/>
  <c r="A60" i="23" l="1"/>
  <c r="J59" i="23"/>
  <c r="K59" i="23" s="1"/>
  <c r="H59" i="23"/>
  <c r="I59" i="23" s="1"/>
  <c r="F59" i="23"/>
  <c r="G59" i="23" s="1"/>
  <c r="D59" i="23"/>
  <c r="E59" i="23" s="1"/>
  <c r="B59" i="23"/>
  <c r="C59" i="23" s="1"/>
  <c r="B60" i="23" l="1"/>
  <c r="C60" i="23" s="1"/>
  <c r="H60" i="23"/>
  <c r="I60" i="23" s="1"/>
  <c r="D60" i="23"/>
  <c r="E60" i="23" s="1"/>
  <c r="A61" i="23"/>
  <c r="J60" i="23"/>
  <c r="K60" i="23" s="1"/>
  <c r="F60" i="23"/>
  <c r="G60" i="23" s="1"/>
  <c r="F61" i="23" l="1"/>
  <c r="G61" i="23" s="1"/>
  <c r="D61" i="23"/>
  <c r="E61" i="23" s="1"/>
  <c r="H61" i="23"/>
  <c r="I61" i="23" s="1"/>
  <c r="B61" i="23"/>
  <c r="C61" i="23" s="1"/>
  <c r="A62" i="23"/>
  <c r="J61" i="23"/>
  <c r="K61" i="23" s="1"/>
  <c r="A63" i="23" l="1"/>
  <c r="J62" i="23"/>
  <c r="K62" i="23" s="1"/>
  <c r="H62" i="23"/>
  <c r="I62" i="23" s="1"/>
  <c r="D62" i="23"/>
  <c r="E62" i="23" s="1"/>
  <c r="F62" i="23"/>
  <c r="G62" i="23" s="1"/>
  <c r="B62" i="23"/>
  <c r="C62" i="23" s="1"/>
  <c r="B63" i="23" l="1"/>
  <c r="C63" i="23" s="1"/>
  <c r="A64" i="23"/>
  <c r="J63" i="23"/>
  <c r="K63" i="23" s="1"/>
  <c r="H63" i="23"/>
  <c r="I63" i="23" s="1"/>
  <c r="F63" i="23"/>
  <c r="G63" i="23" s="1"/>
  <c r="D63" i="23"/>
  <c r="E63" i="23" s="1"/>
  <c r="F64" i="23" l="1"/>
  <c r="G64" i="23" s="1"/>
  <c r="D64" i="23"/>
  <c r="E64" i="23" s="1"/>
  <c r="B64" i="23"/>
  <c r="C64" i="23" s="1"/>
  <c r="A65" i="23"/>
  <c r="J64" i="23"/>
  <c r="K64" i="23" s="1"/>
  <c r="H64" i="23"/>
  <c r="I64" i="23" s="1"/>
  <c r="J65" i="23" l="1"/>
  <c r="K65" i="23" s="1"/>
  <c r="H65" i="23"/>
  <c r="I65" i="23" s="1"/>
  <c r="F65" i="23"/>
  <c r="G65" i="23" s="1"/>
  <c r="A66" i="23"/>
  <c r="D65" i="23"/>
  <c r="E65" i="23" s="1"/>
  <c r="B65" i="23"/>
  <c r="C65" i="23" s="1"/>
  <c r="A67" i="23" l="1"/>
  <c r="H66" i="23"/>
  <c r="I66" i="23" s="1"/>
  <c r="J66" i="23"/>
  <c r="K66" i="23" s="1"/>
  <c r="F66" i="23"/>
  <c r="G66" i="23" s="1"/>
  <c r="D66" i="23"/>
  <c r="E66" i="23" s="1"/>
  <c r="B66" i="23"/>
  <c r="C66" i="23" s="1"/>
  <c r="D67" i="23" l="1"/>
  <c r="E67" i="23" s="1"/>
  <c r="F67" i="23"/>
  <c r="G67" i="23" s="1"/>
  <c r="B67" i="23"/>
  <c r="C67" i="23" s="1"/>
  <c r="A68" i="23"/>
  <c r="J67" i="23"/>
  <c r="K67" i="23" s="1"/>
  <c r="H67" i="23"/>
  <c r="I67" i="23" s="1"/>
  <c r="J68" i="23" l="1"/>
  <c r="K68" i="23" s="1"/>
  <c r="H68" i="23"/>
  <c r="I68" i="23" s="1"/>
  <c r="F68" i="23"/>
  <c r="G68" i="23" s="1"/>
  <c r="D68" i="23"/>
  <c r="E68" i="23" s="1"/>
  <c r="B68" i="23"/>
  <c r="C68" i="23" s="1"/>
  <c r="A69" i="23"/>
  <c r="A70" i="23" l="1"/>
  <c r="J69" i="23"/>
  <c r="K69" i="23" s="1"/>
  <c r="H69" i="23"/>
  <c r="I69" i="23" s="1"/>
  <c r="F69" i="23"/>
  <c r="G69" i="23" s="1"/>
  <c r="D69" i="23"/>
  <c r="E69" i="23" s="1"/>
  <c r="B69" i="23"/>
  <c r="C69" i="23" s="1"/>
  <c r="D70" i="23" l="1"/>
  <c r="E70" i="23" s="1"/>
  <c r="J70" i="23"/>
  <c r="K70" i="23" s="1"/>
  <c r="B70" i="23"/>
  <c r="C70" i="23" s="1"/>
  <c r="A71" i="23"/>
  <c r="H70" i="23"/>
  <c r="I70" i="23" s="1"/>
  <c r="F70" i="23"/>
  <c r="G70" i="23" s="1"/>
  <c r="H71" i="23" l="1"/>
  <c r="I71" i="23" s="1"/>
  <c r="J71" i="23"/>
  <c r="K71" i="23" s="1"/>
  <c r="F71" i="23"/>
  <c r="G71" i="23" s="1"/>
  <c r="D71" i="23"/>
  <c r="E71" i="23" s="1"/>
  <c r="B71" i="23"/>
  <c r="C71" i="23" s="1"/>
  <c r="A72" i="23"/>
  <c r="A73" i="23" l="1"/>
  <c r="J72" i="23"/>
  <c r="K72" i="23" s="1"/>
  <c r="F72" i="23"/>
  <c r="G72" i="23" s="1"/>
  <c r="H72" i="23"/>
  <c r="I72" i="23" s="1"/>
  <c r="D72" i="23"/>
  <c r="E72" i="23" s="1"/>
  <c r="B72" i="23"/>
  <c r="C72" i="23" s="1"/>
  <c r="B73" i="23" l="1"/>
  <c r="C73" i="23" s="1"/>
  <c r="D73" i="23"/>
  <c r="E73" i="23" s="1"/>
  <c r="A74" i="23"/>
  <c r="J73" i="23"/>
  <c r="K73" i="23" s="1"/>
  <c r="H73" i="23"/>
  <c r="I73" i="23" s="1"/>
  <c r="F73" i="23"/>
  <c r="G73" i="23" s="1"/>
  <c r="H74" i="23" l="1"/>
  <c r="I74" i="23" s="1"/>
  <c r="F74" i="23"/>
  <c r="G74" i="23" s="1"/>
  <c r="D74" i="23"/>
  <c r="E74" i="23" s="1"/>
  <c r="B74" i="23"/>
  <c r="C74" i="23" s="1"/>
  <c r="A75" i="23"/>
  <c r="J74" i="23"/>
  <c r="K74" i="23" s="1"/>
  <c r="A76" i="23" l="1"/>
  <c r="J75" i="23"/>
  <c r="K75" i="23" s="1"/>
  <c r="H75" i="23"/>
  <c r="I75" i="23" s="1"/>
  <c r="F75" i="23"/>
  <c r="G75" i="23" s="1"/>
  <c r="D75" i="23"/>
  <c r="E75" i="23" s="1"/>
  <c r="B75" i="23"/>
  <c r="C75" i="23" s="1"/>
  <c r="C76" i="23" l="1"/>
  <c r="H76" i="23"/>
  <c r="I76" i="23" s="1"/>
  <c r="A77" i="23"/>
  <c r="J76" i="23"/>
  <c r="K76" i="23" s="1"/>
  <c r="F76" i="23"/>
  <c r="G76" i="23" s="1"/>
  <c r="D76" i="23"/>
  <c r="E76" i="23" s="1"/>
  <c r="H133" i="15"/>
  <c r="H580" i="25" s="1"/>
  <c r="F77" i="23" l="1"/>
  <c r="G77" i="23" s="1"/>
  <c r="H77" i="23"/>
  <c r="I77" i="23" s="1"/>
  <c r="D77" i="23"/>
  <c r="E77" i="23" s="1"/>
  <c r="B77" i="23"/>
  <c r="C77" i="23" s="1"/>
  <c r="A78" i="23"/>
  <c r="J77" i="23"/>
  <c r="K77" i="23" s="1"/>
  <c r="H112" i="15"/>
  <c r="H560" i="25" s="1"/>
  <c r="L71" i="14"/>
  <c r="A79" i="23" l="1"/>
  <c r="J78" i="23"/>
  <c r="K78" i="23" s="1"/>
  <c r="H78" i="23"/>
  <c r="I78" i="23" s="1"/>
  <c r="D78" i="23"/>
  <c r="E78" i="23" s="1"/>
  <c r="F78" i="23"/>
  <c r="G78" i="23" s="1"/>
  <c r="B78" i="23"/>
  <c r="C78" i="23" s="1"/>
  <c r="H3" i="12" l="1"/>
  <c r="H158" i="1"/>
  <c r="H58" i="14"/>
  <c r="G49" i="13"/>
  <c r="H6" i="13"/>
  <c r="I16" i="24" s="1"/>
  <c r="J55" i="14"/>
  <c r="H8" i="13" l="1"/>
  <c r="H12" i="13" l="1"/>
  <c r="H60" i="13"/>
  <c r="I11" i="24" s="1"/>
  <c r="H10" i="13"/>
  <c r="H11" i="13"/>
  <c r="H13" i="13" l="1"/>
  <c r="B248" i="1" l="1"/>
  <c r="B247" i="1"/>
  <c r="H230" i="1"/>
  <c r="H3" i="5"/>
  <c r="H5" i="5" s="1"/>
  <c r="H86" i="3"/>
  <c r="H1289" i="25" s="1"/>
  <c r="H34" i="1"/>
  <c r="M169" i="15"/>
  <c r="H125" i="15"/>
  <c r="H573" i="25" s="1"/>
  <c r="H123" i="15"/>
  <c r="H571" i="25" s="1"/>
  <c r="H120" i="15"/>
  <c r="H568" i="25" s="1"/>
  <c r="H121" i="15"/>
  <c r="H569" i="25" s="1"/>
  <c r="H119" i="15"/>
  <c r="H567" i="25" s="1"/>
  <c r="H99" i="15"/>
  <c r="H548" i="25" s="1"/>
  <c r="H98" i="15"/>
  <c r="H547" i="25" s="1"/>
  <c r="H25" i="15"/>
  <c r="H465" i="25" s="1"/>
  <c r="M195" i="15" l="1"/>
  <c r="B692" i="25" s="1"/>
  <c r="B716" i="25" s="1"/>
  <c r="B640" i="25"/>
  <c r="B665" i="25" s="1"/>
  <c r="B40" i="24"/>
  <c r="B64" i="24" s="1"/>
  <c r="B88" i="24" s="1"/>
  <c r="H6" i="5"/>
  <c r="H100" i="15"/>
  <c r="H549" i="25" s="1"/>
  <c r="U75" i="14" l="1"/>
  <c r="U74" i="14"/>
  <c r="H12" i="15" l="1"/>
  <c r="H452" i="25" s="1"/>
  <c r="H117" i="15"/>
  <c r="H565" i="25" s="1"/>
  <c r="H122" i="15"/>
  <c r="H570" i="25" s="1"/>
  <c r="H124" i="15" l="1"/>
  <c r="H572" i="25" s="1"/>
  <c r="S168" i="15"/>
  <c r="S194" i="15" s="1"/>
  <c r="H18" i="15"/>
  <c r="H458" i="25" s="1"/>
  <c r="H80" i="15"/>
  <c r="H529" i="25" s="1"/>
  <c r="G463" i="25" l="1"/>
  <c r="G459" i="25"/>
  <c r="G461" i="25"/>
  <c r="G462" i="25"/>
  <c r="G460" i="25"/>
  <c r="S169" i="15"/>
  <c r="H640" i="25" s="1"/>
  <c r="H639" i="25"/>
  <c r="H95" i="15"/>
  <c r="H544" i="25" s="1"/>
  <c r="H126" i="15"/>
  <c r="H574" i="25" s="1"/>
  <c r="H48" i="15"/>
  <c r="H487" i="25" s="1"/>
  <c r="H47" i="15"/>
  <c r="H486" i="25" s="1"/>
  <c r="H42" i="15"/>
  <c r="H481" i="25" s="1"/>
  <c r="H41" i="15"/>
  <c r="H480" i="25" s="1"/>
  <c r="H27" i="15"/>
  <c r="H467" i="25" s="1"/>
  <c r="H23" i="15"/>
  <c r="H463" i="25" s="1"/>
  <c r="G19" i="15"/>
  <c r="G20" i="15"/>
  <c r="G21" i="15"/>
  <c r="G22" i="15"/>
  <c r="G23" i="15"/>
  <c r="K24" i="14"/>
  <c r="H4" i="15"/>
  <c r="H11" i="15"/>
  <c r="H451" i="25" s="1"/>
  <c r="H13" i="15"/>
  <c r="H453" i="25" s="1"/>
  <c r="H135" i="15" l="1"/>
  <c r="H582" i="25" s="1"/>
  <c r="H444" i="25"/>
  <c r="H22" i="15"/>
  <c r="H462" i="25" s="1"/>
  <c r="H21" i="15"/>
  <c r="H461" i="25" s="1"/>
  <c r="H54" i="15"/>
  <c r="H493" i="25" s="1"/>
  <c r="G494" i="25" s="1"/>
  <c r="H20" i="15"/>
  <c r="H460" i="25" s="1"/>
  <c r="H19" i="15"/>
  <c r="H459" i="25" s="1"/>
  <c r="H82" i="15" l="1"/>
  <c r="H531" i="25" s="1"/>
  <c r="H113" i="15"/>
  <c r="H561" i="25" s="1"/>
  <c r="G55" i="15"/>
  <c r="H60" i="15"/>
  <c r="H499" i="25" s="1"/>
  <c r="H59" i="15"/>
  <c r="H498" i="25" s="1"/>
  <c r="H55" i="15"/>
  <c r="H494" i="25" s="1"/>
  <c r="H58" i="15"/>
  <c r="H497" i="25" s="1"/>
  <c r="Q168" i="15" l="1"/>
  <c r="Q194" i="15" s="1"/>
  <c r="H80" i="12"/>
  <c r="H172" i="15"/>
  <c r="H626" i="25" s="1"/>
  <c r="H92" i="12"/>
  <c r="H96" i="15"/>
  <c r="H545" i="25" s="1"/>
  <c r="H61" i="15"/>
  <c r="H500" i="25" s="1"/>
  <c r="F639" i="25" l="1"/>
  <c r="H62" i="15"/>
  <c r="H501" i="25" s="1"/>
  <c r="H97" i="15"/>
  <c r="H546" i="25" s="1"/>
  <c r="V75" i="14"/>
  <c r="T75" i="14"/>
  <c r="V74" i="14"/>
  <c r="T269" i="1"/>
  <c r="E246" i="1"/>
  <c r="Q169" i="15" l="1"/>
  <c r="F640" i="25" s="1"/>
  <c r="H64" i="15"/>
  <c r="H503" i="25" s="1"/>
  <c r="J29" i="22"/>
  <c r="H139" i="15"/>
  <c r="H586" i="25" s="1"/>
  <c r="H246" i="1"/>
  <c r="H84" i="12"/>
  <c r="H101" i="15"/>
  <c r="H550" i="25" s="1"/>
  <c r="H170" i="15"/>
  <c r="H131" i="5" l="1"/>
  <c r="H624" i="25"/>
  <c r="G229" i="1"/>
  <c r="U273" i="1" l="1"/>
  <c r="H147" i="1"/>
  <c r="S75" i="14"/>
  <c r="S74" i="14"/>
  <c r="T74" i="14"/>
  <c r="K33" i="22" l="1"/>
  <c r="G244" i="1"/>
  <c r="H45" i="14"/>
  <c r="H6" i="15" l="1"/>
  <c r="H446" i="25" s="1"/>
  <c r="H7" i="1"/>
  <c r="D40" i="22" s="1"/>
  <c r="H116" i="15"/>
  <c r="H564" i="25" s="1"/>
  <c r="F10" i="1"/>
  <c r="B43" i="22" s="1"/>
  <c r="F2" i="22" s="1"/>
  <c r="H9" i="1"/>
  <c r="D42" i="22" s="1"/>
  <c r="H10" i="1"/>
  <c r="D43" i="22" s="1"/>
  <c r="F5" i="1"/>
  <c r="B38" i="22" s="1"/>
  <c r="H5" i="1"/>
  <c r="D38" i="22" s="1"/>
  <c r="H6" i="1"/>
  <c r="D39" i="22" s="1"/>
  <c r="F6" i="1"/>
  <c r="B39" i="22" s="1"/>
  <c r="F8" i="1"/>
  <c r="B41" i="22" l="1"/>
  <c r="I3" i="24"/>
  <c r="G88" i="24" s="1"/>
  <c r="L2" i="22"/>
  <c r="F3" i="22"/>
  <c r="L3" i="22" s="1"/>
  <c r="F18" i="22"/>
  <c r="L18" i="22" s="1"/>
  <c r="F17" i="22"/>
  <c r="L17" i="22" s="1"/>
  <c r="H127" i="15"/>
  <c r="H8" i="1"/>
  <c r="D41" i="22" s="1"/>
  <c r="D44" i="22" s="1"/>
  <c r="G2" i="22" s="1"/>
  <c r="F7" i="1"/>
  <c r="B40" i="22" s="1"/>
  <c r="F9" i="1"/>
  <c r="B42" i="22" s="1"/>
  <c r="I3" i="2"/>
  <c r="H185" i="1"/>
  <c r="M48" i="2" l="1"/>
  <c r="N48" i="2" s="1"/>
  <c r="M55" i="2"/>
  <c r="N55" i="2" s="1"/>
  <c r="M39" i="2"/>
  <c r="N39" i="2" s="1"/>
  <c r="M46" i="2"/>
  <c r="N46" i="2" s="1"/>
  <c r="M53" i="2"/>
  <c r="N53" i="2" s="1"/>
  <c r="M37" i="2"/>
  <c r="N37" i="2" s="1"/>
  <c r="M44" i="2"/>
  <c r="N44" i="2" s="1"/>
  <c r="M51" i="2"/>
  <c r="N51" i="2" s="1"/>
  <c r="M42" i="2"/>
  <c r="N42" i="2" s="1"/>
  <c r="M49" i="2"/>
  <c r="N49" i="2" s="1"/>
  <c r="M56" i="2"/>
  <c r="N56" i="2" s="1"/>
  <c r="M40" i="2"/>
  <c r="N40" i="2" s="1"/>
  <c r="M52" i="2"/>
  <c r="N52" i="2" s="1"/>
  <c r="M47" i="2"/>
  <c r="N47" i="2" s="1"/>
  <c r="M54" i="2"/>
  <c r="N54" i="2" s="1"/>
  <c r="M38" i="2"/>
  <c r="N38" i="2" s="1"/>
  <c r="M45" i="2"/>
  <c r="N45" i="2" s="1"/>
  <c r="N36" i="2"/>
  <c r="M43" i="2"/>
  <c r="N43" i="2" s="1"/>
  <c r="M50" i="2"/>
  <c r="N50" i="2" s="1"/>
  <c r="H1109" i="25"/>
  <c r="M41" i="2"/>
  <c r="N41" i="2" s="1"/>
  <c r="H128" i="15"/>
  <c r="H576" i="25" s="1"/>
  <c r="H575" i="25"/>
  <c r="F4" i="22"/>
  <c r="M2" i="22"/>
  <c r="H44" i="22"/>
  <c r="G3" i="22"/>
  <c r="M3" i="22" s="1"/>
  <c r="G17" i="22"/>
  <c r="M17" i="22" s="1"/>
  <c r="G18" i="22"/>
  <c r="M18" i="22" s="1"/>
  <c r="L20" i="22"/>
  <c r="F16" i="22"/>
  <c r="L16" i="22" s="1"/>
  <c r="H173" i="15"/>
  <c r="H627" i="25" s="1"/>
  <c r="T168" i="15"/>
  <c r="T194" i="15" s="1"/>
  <c r="H93" i="12"/>
  <c r="H11" i="1"/>
  <c r="H26" i="15"/>
  <c r="H466" i="25" s="1"/>
  <c r="S12" i="2"/>
  <c r="Q14" i="2"/>
  <c r="Q6" i="2"/>
  <c r="O8" i="2"/>
  <c r="M10" i="2"/>
  <c r="Q11" i="2"/>
  <c r="O5" i="2"/>
  <c r="M14" i="2"/>
  <c r="Q9" i="2"/>
  <c r="M11" i="2"/>
  <c r="S11" i="2"/>
  <c r="Q13" i="2"/>
  <c r="Q5" i="2"/>
  <c r="O7" i="2"/>
  <c r="M9" i="2"/>
  <c r="S9" i="2"/>
  <c r="M7" i="2"/>
  <c r="U6" i="2"/>
  <c r="O12" i="2"/>
  <c r="O11" i="2"/>
  <c r="S10" i="2"/>
  <c r="Q12" i="2"/>
  <c r="O14" i="2"/>
  <c r="O6" i="2"/>
  <c r="M8" i="2"/>
  <c r="O13" i="2"/>
  <c r="S8" i="2"/>
  <c r="S7" i="2"/>
  <c r="O9" i="2"/>
  <c r="Q10" i="2"/>
  <c r="U5" i="2"/>
  <c r="M13" i="2"/>
  <c r="Q7" i="2"/>
  <c r="S14" i="2"/>
  <c r="S6" i="2"/>
  <c r="Q8" i="2"/>
  <c r="O10" i="2"/>
  <c r="M12" i="2"/>
  <c r="S13" i="2"/>
  <c r="S5" i="2"/>
  <c r="H66" i="12"/>
  <c r="U40" i="2" l="1"/>
  <c r="T40" i="2"/>
  <c r="U56" i="2"/>
  <c r="T56" i="2"/>
  <c r="U38" i="2"/>
  <c r="T38" i="2"/>
  <c r="T49" i="2"/>
  <c r="U49" i="2"/>
  <c r="T42" i="2"/>
  <c r="U42" i="2"/>
  <c r="U54" i="2"/>
  <c r="T54" i="2"/>
  <c r="U51" i="2"/>
  <c r="T51" i="2"/>
  <c r="U44" i="2"/>
  <c r="T44" i="2"/>
  <c r="U52" i="2"/>
  <c r="T52" i="2"/>
  <c r="U41" i="2"/>
  <c r="T41" i="2"/>
  <c r="T37" i="2"/>
  <c r="U37" i="2"/>
  <c r="U53" i="2"/>
  <c r="T53" i="2"/>
  <c r="U47" i="2"/>
  <c r="T47" i="2"/>
  <c r="U50" i="2"/>
  <c r="T50" i="2"/>
  <c r="U46" i="2"/>
  <c r="T46" i="2"/>
  <c r="U43" i="2"/>
  <c r="T43" i="2"/>
  <c r="U39" i="2"/>
  <c r="T39" i="2"/>
  <c r="U36" i="2"/>
  <c r="T36" i="2"/>
  <c r="U55" i="2"/>
  <c r="T55" i="2"/>
  <c r="T45" i="2"/>
  <c r="U45" i="2"/>
  <c r="U48" i="2"/>
  <c r="T48" i="2"/>
  <c r="I639" i="25"/>
  <c r="F15" i="22"/>
  <c r="L25" i="22" s="1"/>
  <c r="F5" i="22"/>
  <c r="L21" i="22" s="1"/>
  <c r="G16" i="22"/>
  <c r="M16" i="22" s="1"/>
  <c r="G5" i="22"/>
  <c r="M21" i="22" s="1"/>
  <c r="G4" i="22"/>
  <c r="M176" i="15"/>
  <c r="M186" i="15"/>
  <c r="M183" i="15"/>
  <c r="T169" i="15"/>
  <c r="I640" i="25" s="1"/>
  <c r="M175" i="15"/>
  <c r="M177" i="15"/>
  <c r="M170" i="15"/>
  <c r="M184" i="15"/>
  <c r="M174" i="15"/>
  <c r="M171" i="15"/>
  <c r="M173" i="15"/>
  <c r="M179" i="15"/>
  <c r="H28" i="15"/>
  <c r="H468" i="25" s="1"/>
  <c r="M178" i="15"/>
  <c r="U7" i="2"/>
  <c r="M188" i="15"/>
  <c r="M180" i="15"/>
  <c r="M185" i="15"/>
  <c r="M181" i="15"/>
  <c r="M182" i="15"/>
  <c r="M172" i="15"/>
  <c r="M187" i="15"/>
  <c r="M189" i="15"/>
  <c r="H4" i="13"/>
  <c r="E42" i="13"/>
  <c r="E35" i="13"/>
  <c r="E40" i="13"/>
  <c r="E39" i="13"/>
  <c r="E34" i="13"/>
  <c r="C42" i="13"/>
  <c r="C37" i="13"/>
  <c r="C41" i="13"/>
  <c r="C36" i="13"/>
  <c r="C40" i="13"/>
  <c r="C35" i="13"/>
  <c r="C39" i="13"/>
  <c r="C34" i="13"/>
  <c r="H15" i="13"/>
  <c r="H5" i="13"/>
  <c r="H2" i="13"/>
  <c r="I18" i="24" s="1"/>
  <c r="H5" i="12"/>
  <c r="B643" i="25" l="1"/>
  <c r="B668" i="25" s="1"/>
  <c r="M198" i="15"/>
  <c r="B695" i="25" s="1"/>
  <c r="B719" i="25" s="1"/>
  <c r="B654" i="25"/>
  <c r="B679" i="25" s="1"/>
  <c r="M209" i="15"/>
  <c r="B706" i="25" s="1"/>
  <c r="B730" i="25" s="1"/>
  <c r="B653" i="25"/>
  <c r="B678" i="25" s="1"/>
  <c r="M208" i="15"/>
  <c r="B705" i="25" s="1"/>
  <c r="B729" i="25" s="1"/>
  <c r="B651" i="25"/>
  <c r="B676" i="25" s="1"/>
  <c r="M206" i="15"/>
  <c r="B703" i="25" s="1"/>
  <c r="B727" i="25" s="1"/>
  <c r="B656" i="25"/>
  <c r="B681" i="25" s="1"/>
  <c r="M211" i="15"/>
  <c r="B708" i="25" s="1"/>
  <c r="B732" i="25" s="1"/>
  <c r="B652" i="25"/>
  <c r="B677" i="25" s="1"/>
  <c r="M207" i="15"/>
  <c r="B704" i="25" s="1"/>
  <c r="B728" i="25" s="1"/>
  <c r="M202" i="15"/>
  <c r="B699" i="25" s="1"/>
  <c r="B723" i="25" s="1"/>
  <c r="B647" i="25"/>
  <c r="B672" i="25" s="1"/>
  <c r="M197" i="15"/>
  <c r="B694" i="25" s="1"/>
  <c r="B718" i="25" s="1"/>
  <c r="B642" i="25"/>
  <c r="B667" i="25" s="1"/>
  <c r="M204" i="15"/>
  <c r="B701" i="25" s="1"/>
  <c r="B725" i="25" s="1"/>
  <c r="B649" i="25"/>
  <c r="B674" i="25" s="1"/>
  <c r="M201" i="15"/>
  <c r="B698" i="25" s="1"/>
  <c r="B722" i="25" s="1"/>
  <c r="B646" i="25"/>
  <c r="B671" i="25" s="1"/>
  <c r="M205" i="15"/>
  <c r="B702" i="25" s="1"/>
  <c r="B726" i="25" s="1"/>
  <c r="B650" i="25"/>
  <c r="B675" i="25" s="1"/>
  <c r="B644" i="25"/>
  <c r="B669" i="25" s="1"/>
  <c r="M199" i="15"/>
  <c r="B696" i="25" s="1"/>
  <c r="B720" i="25" s="1"/>
  <c r="B655" i="25"/>
  <c r="B680" i="25" s="1"/>
  <c r="M210" i="15"/>
  <c r="B707" i="25" s="1"/>
  <c r="B731" i="25" s="1"/>
  <c r="B657" i="25"/>
  <c r="B682" i="25" s="1"/>
  <c r="M212" i="15"/>
  <c r="B709" i="25" s="1"/>
  <c r="B733" i="25" s="1"/>
  <c r="B659" i="25"/>
  <c r="B684" i="25" s="1"/>
  <c r="M214" i="15"/>
  <c r="B711" i="25" s="1"/>
  <c r="B735" i="25" s="1"/>
  <c r="B60" i="24"/>
  <c r="B84" i="24" s="1"/>
  <c r="B108" i="24" s="1"/>
  <c r="B660" i="25"/>
  <c r="B685" i="25" s="1"/>
  <c r="M215" i="15"/>
  <c r="B712" i="25" s="1"/>
  <c r="B736" i="25" s="1"/>
  <c r="B641" i="25"/>
  <c r="B666" i="25" s="1"/>
  <c r="M196" i="15"/>
  <c r="B693" i="25" s="1"/>
  <c r="B717" i="25" s="1"/>
  <c r="M200" i="15"/>
  <c r="B697" i="25" s="1"/>
  <c r="B721" i="25" s="1"/>
  <c r="B645" i="25"/>
  <c r="B670" i="25" s="1"/>
  <c r="B58" i="24"/>
  <c r="B82" i="24" s="1"/>
  <c r="B106" i="24" s="1"/>
  <c r="M213" i="15"/>
  <c r="B710" i="25" s="1"/>
  <c r="B734" i="25" s="1"/>
  <c r="B658" i="25"/>
  <c r="B683" i="25" s="1"/>
  <c r="M203" i="15"/>
  <c r="B700" i="25" s="1"/>
  <c r="B724" i="25" s="1"/>
  <c r="B648" i="25"/>
  <c r="B673" i="25" s="1"/>
  <c r="B55" i="24"/>
  <c r="B79" i="24" s="1"/>
  <c r="B103" i="24" s="1"/>
  <c r="B53" i="24"/>
  <c r="B77" i="24" s="1"/>
  <c r="B101" i="24" s="1"/>
  <c r="Q175" i="15"/>
  <c r="F646" i="25" s="1"/>
  <c r="B46" i="24"/>
  <c r="B70" i="24" s="1"/>
  <c r="B94" i="24" s="1"/>
  <c r="B47" i="24"/>
  <c r="B71" i="24" s="1"/>
  <c r="B95" i="24" s="1"/>
  <c r="B43" i="24"/>
  <c r="B67" i="24" s="1"/>
  <c r="B91" i="24" s="1"/>
  <c r="B56" i="24"/>
  <c r="B80" i="24" s="1"/>
  <c r="B104" i="24" s="1"/>
  <c r="S171" i="15"/>
  <c r="H642" i="25" s="1"/>
  <c r="B42" i="24"/>
  <c r="B66" i="24" s="1"/>
  <c r="B90" i="24" s="1"/>
  <c r="Q170" i="15"/>
  <c r="F641" i="25" s="1"/>
  <c r="B41" i="24"/>
  <c r="B65" i="24" s="1"/>
  <c r="B89" i="24" s="1"/>
  <c r="B59" i="24"/>
  <c r="B83" i="24" s="1"/>
  <c r="B107" i="24" s="1"/>
  <c r="B45" i="24"/>
  <c r="B69" i="24" s="1"/>
  <c r="B93" i="24" s="1"/>
  <c r="B54" i="24"/>
  <c r="B78" i="24" s="1"/>
  <c r="B102" i="24" s="1"/>
  <c r="S177" i="15"/>
  <c r="H648" i="25" s="1"/>
  <c r="B48" i="24"/>
  <c r="B72" i="24" s="1"/>
  <c r="B96" i="24" s="1"/>
  <c r="B51" i="24"/>
  <c r="B75" i="24" s="1"/>
  <c r="B99" i="24" s="1"/>
  <c r="B52" i="24"/>
  <c r="B76" i="24" s="1"/>
  <c r="B100" i="24" s="1"/>
  <c r="S186" i="15"/>
  <c r="H657" i="25" s="1"/>
  <c r="B57" i="24"/>
  <c r="B81" i="24" s="1"/>
  <c r="B105" i="24" s="1"/>
  <c r="B49" i="24"/>
  <c r="B73" i="24" s="1"/>
  <c r="B97" i="24" s="1"/>
  <c r="B50" i="24"/>
  <c r="B74" i="24" s="1"/>
  <c r="B98" i="24" s="1"/>
  <c r="B44" i="24"/>
  <c r="B68" i="24" s="1"/>
  <c r="B92" i="24" s="1"/>
  <c r="G15" i="22"/>
  <c r="M25" i="22" s="1"/>
  <c r="M20" i="22"/>
  <c r="T174" i="15"/>
  <c r="I645" i="25" s="1"/>
  <c r="T180" i="15"/>
  <c r="I651" i="25" s="1"/>
  <c r="Q180" i="15"/>
  <c r="F651" i="25" s="1"/>
  <c r="S180" i="15"/>
  <c r="H651" i="25" s="1"/>
  <c r="T188" i="15"/>
  <c r="I659" i="25" s="1"/>
  <c r="Q188" i="15"/>
  <c r="F659" i="25" s="1"/>
  <c r="S188" i="15"/>
  <c r="H659" i="25" s="1"/>
  <c r="T176" i="15"/>
  <c r="I647" i="25" s="1"/>
  <c r="Q176" i="15"/>
  <c r="F647" i="25" s="1"/>
  <c r="S176" i="15"/>
  <c r="H647" i="25" s="1"/>
  <c r="T184" i="15"/>
  <c r="I655" i="25" s="1"/>
  <c r="Q174" i="15"/>
  <c r="F645" i="25" s="1"/>
  <c r="Q184" i="15"/>
  <c r="F655" i="25" s="1"/>
  <c r="S174" i="15"/>
  <c r="H645" i="25" s="1"/>
  <c r="S184" i="15"/>
  <c r="H655" i="25" s="1"/>
  <c r="H29" i="15"/>
  <c r="H469" i="25" s="1"/>
  <c r="G14" i="22"/>
  <c r="M24" i="22" s="1"/>
  <c r="G6" i="22"/>
  <c r="M6" i="22" s="1"/>
  <c r="F14" i="22"/>
  <c r="L24" i="22" s="1"/>
  <c r="F6" i="22"/>
  <c r="L6" i="22" s="1"/>
  <c r="Q181" i="15"/>
  <c r="F652" i="25" s="1"/>
  <c r="T181" i="15"/>
  <c r="I652" i="25" s="1"/>
  <c r="S181" i="15"/>
  <c r="H652" i="25" s="1"/>
  <c r="T179" i="15"/>
  <c r="I650" i="25" s="1"/>
  <c r="T185" i="15"/>
  <c r="I656" i="25" s="1"/>
  <c r="T183" i="15"/>
  <c r="I654" i="25" s="1"/>
  <c r="S175" i="15"/>
  <c r="H646" i="25" s="1"/>
  <c r="Q185" i="15"/>
  <c r="F656" i="25" s="1"/>
  <c r="Q183" i="15"/>
  <c r="F654" i="25" s="1"/>
  <c r="S183" i="15"/>
  <c r="H654" i="25" s="1"/>
  <c r="Q179" i="15"/>
  <c r="F650" i="25" s="1"/>
  <c r="S179" i="15"/>
  <c r="H650" i="25" s="1"/>
  <c r="T182" i="15"/>
  <c r="I653" i="25" s="1"/>
  <c r="T173" i="15"/>
  <c r="I644" i="25" s="1"/>
  <c r="S185" i="15"/>
  <c r="H656" i="25" s="1"/>
  <c r="T172" i="15"/>
  <c r="I643" i="25" s="1"/>
  <c r="T171" i="15"/>
  <c r="I642" i="25" s="1"/>
  <c r="T186" i="15"/>
  <c r="I657" i="25" s="1"/>
  <c r="Q171" i="15"/>
  <c r="F642" i="25" s="1"/>
  <c r="Q186" i="15"/>
  <c r="F657" i="25" s="1"/>
  <c r="Q182" i="15"/>
  <c r="F653" i="25" s="1"/>
  <c r="S182" i="15"/>
  <c r="H653" i="25" s="1"/>
  <c r="S170" i="15"/>
  <c r="H641" i="25" s="1"/>
  <c r="T175" i="15"/>
  <c r="I646" i="25" s="1"/>
  <c r="T177" i="15"/>
  <c r="I648" i="25" s="1"/>
  <c r="Q177" i="15"/>
  <c r="F648" i="25" s="1"/>
  <c r="E90" i="13"/>
  <c r="T178" i="15"/>
  <c r="I649" i="25" s="1"/>
  <c r="Q172" i="15"/>
  <c r="F643" i="25" s="1"/>
  <c r="Q178" i="15"/>
  <c r="F649" i="25" s="1"/>
  <c r="Q173" i="15"/>
  <c r="F644" i="25" s="1"/>
  <c r="T170" i="15"/>
  <c r="I641" i="25" s="1"/>
  <c r="S172" i="15"/>
  <c r="H643" i="25" s="1"/>
  <c r="S178" i="15"/>
  <c r="H649" i="25" s="1"/>
  <c r="S173" i="15"/>
  <c r="H644" i="25" s="1"/>
  <c r="E108" i="12"/>
  <c r="E17" i="12"/>
  <c r="H55" i="13"/>
  <c r="H50" i="13"/>
  <c r="S187" i="15"/>
  <c r="H658" i="25" s="1"/>
  <c r="Q187" i="15"/>
  <c r="F658" i="25" s="1"/>
  <c r="T187" i="15"/>
  <c r="I658" i="25" s="1"/>
  <c r="S189" i="15"/>
  <c r="H660" i="25" s="1"/>
  <c r="Q189" i="15"/>
  <c r="F660" i="25" s="1"/>
  <c r="T189" i="15"/>
  <c r="I660" i="25" s="1"/>
  <c r="H61" i="12"/>
  <c r="S198" i="15" l="1"/>
  <c r="H695" i="25" s="1"/>
  <c r="S196" i="15"/>
  <c r="H693" i="25" s="1"/>
  <c r="S214" i="15"/>
  <c r="H711" i="25" s="1"/>
  <c r="S215" i="15"/>
  <c r="H712" i="25" s="1"/>
  <c r="S204" i="15"/>
  <c r="H701" i="25" s="1"/>
  <c r="S213" i="15"/>
  <c r="H710" i="25" s="1"/>
  <c r="S199" i="15"/>
  <c r="H696" i="25" s="1"/>
  <c r="S206" i="15"/>
  <c r="H703" i="25" s="1"/>
  <c r="S200" i="15"/>
  <c r="H697" i="25" s="1"/>
  <c r="S210" i="15"/>
  <c r="H707" i="25" s="1"/>
  <c r="S207" i="15"/>
  <c r="H704" i="25" s="1"/>
  <c r="S201" i="15"/>
  <c r="H698" i="25" s="1"/>
  <c r="S211" i="15"/>
  <c r="H708" i="25" s="1"/>
  <c r="S205" i="15"/>
  <c r="H702" i="25" s="1"/>
  <c r="S208" i="15"/>
  <c r="H705" i="25" s="1"/>
  <c r="S202" i="15"/>
  <c r="H699" i="25" s="1"/>
  <c r="S203" i="15"/>
  <c r="H700" i="25" s="1"/>
  <c r="S195" i="15"/>
  <c r="H692" i="25" s="1"/>
  <c r="S209" i="15"/>
  <c r="H706" i="25" s="1"/>
  <c r="S212" i="15"/>
  <c r="H709" i="25" s="1"/>
  <c r="S197" i="15"/>
  <c r="H694" i="25" s="1"/>
  <c r="Q205" i="15"/>
  <c r="F702" i="25" s="1"/>
  <c r="Q215" i="15"/>
  <c r="F712" i="25" s="1"/>
  <c r="Q204" i="15"/>
  <c r="F701" i="25" s="1"/>
  <c r="Q207" i="15"/>
  <c r="F704" i="25" s="1"/>
  <c r="Q200" i="15"/>
  <c r="F697" i="25" s="1"/>
  <c r="Q202" i="15"/>
  <c r="F699" i="25" s="1"/>
  <c r="Q209" i="15"/>
  <c r="F706" i="25" s="1"/>
  <c r="Q211" i="15"/>
  <c r="F708" i="25" s="1"/>
  <c r="Q212" i="15"/>
  <c r="F709" i="25" s="1"/>
  <c r="Q197" i="15"/>
  <c r="F694" i="25" s="1"/>
  <c r="Q198" i="15"/>
  <c r="F695" i="25" s="1"/>
  <c r="Q206" i="15"/>
  <c r="F703" i="25" s="1"/>
  <c r="Q199" i="15"/>
  <c r="F696" i="25" s="1"/>
  <c r="Q208" i="15"/>
  <c r="F705" i="25" s="1"/>
  <c r="Q213" i="15"/>
  <c r="F710" i="25" s="1"/>
  <c r="Q201" i="15"/>
  <c r="F698" i="25" s="1"/>
  <c r="Q203" i="15"/>
  <c r="F700" i="25" s="1"/>
  <c r="Q210" i="15"/>
  <c r="F707" i="25" s="1"/>
  <c r="Q195" i="15"/>
  <c r="F692" i="25" s="1"/>
  <c r="Q196" i="15"/>
  <c r="F693" i="25" s="1"/>
  <c r="Q214" i="15"/>
  <c r="F711" i="25" s="1"/>
  <c r="T208" i="15"/>
  <c r="I705" i="25" s="1"/>
  <c r="T201" i="15"/>
  <c r="I698" i="25" s="1"/>
  <c r="T198" i="15"/>
  <c r="I695" i="25" s="1"/>
  <c r="T209" i="15"/>
  <c r="I706" i="25" s="1"/>
  <c r="T202" i="15"/>
  <c r="I699" i="25" s="1"/>
  <c r="T206" i="15"/>
  <c r="I703" i="25" s="1"/>
  <c r="T200" i="15"/>
  <c r="I697" i="25" s="1"/>
  <c r="T210" i="15"/>
  <c r="I707" i="25" s="1"/>
  <c r="T203" i="15"/>
  <c r="I700" i="25" s="1"/>
  <c r="T212" i="15"/>
  <c r="I709" i="25" s="1"/>
  <c r="T214" i="15"/>
  <c r="I711" i="25" s="1"/>
  <c r="T215" i="15"/>
  <c r="I712" i="25" s="1"/>
  <c r="T196" i="15"/>
  <c r="I693" i="25" s="1"/>
  <c r="T204" i="15"/>
  <c r="I701" i="25" s="1"/>
  <c r="T207" i="15"/>
  <c r="I704" i="25" s="1"/>
  <c r="T205" i="15"/>
  <c r="I702" i="25" s="1"/>
  <c r="T213" i="15"/>
  <c r="I710" i="25" s="1"/>
  <c r="T199" i="15"/>
  <c r="I696" i="25" s="1"/>
  <c r="T211" i="15"/>
  <c r="I708" i="25" s="1"/>
  <c r="T197" i="15"/>
  <c r="I694" i="25" s="1"/>
  <c r="T195" i="15"/>
  <c r="I692" i="25" s="1"/>
  <c r="F13" i="22"/>
  <c r="L13" i="22" s="1"/>
  <c r="F7" i="22"/>
  <c r="G13" i="22"/>
  <c r="M13" i="22" s="1"/>
  <c r="G7" i="22"/>
  <c r="M7" i="22" s="1"/>
  <c r="E99" i="12"/>
  <c r="E29" i="12"/>
  <c r="H51" i="13"/>
  <c r="E56" i="12"/>
  <c r="E41" i="12"/>
  <c r="F8" i="22" l="1"/>
  <c r="L7" i="22"/>
  <c r="G12" i="22"/>
  <c r="M12" i="22" s="1"/>
  <c r="G8" i="22"/>
  <c r="M8" i="22" s="1"/>
  <c r="F12" i="22"/>
  <c r="L12" i="22" s="1"/>
  <c r="E103" i="12"/>
  <c r="L8" i="22" l="1"/>
  <c r="L4" i="22"/>
  <c r="L19" i="22" s="1"/>
  <c r="F11" i="22"/>
  <c r="L11" i="22" s="1"/>
  <c r="F9" i="22"/>
  <c r="R3" i="22" s="1"/>
  <c r="G11" i="22"/>
  <c r="M11" i="22" s="1"/>
  <c r="G9" i="22"/>
  <c r="S3" i="22" s="1"/>
  <c r="H117" i="3"/>
  <c r="H1322" i="25" s="1"/>
  <c r="H84" i="3"/>
  <c r="H1287" i="25" s="1"/>
  <c r="H82" i="3"/>
  <c r="H1285" i="25" s="1"/>
  <c r="H81" i="3"/>
  <c r="H1284" i="25" s="1"/>
  <c r="H80" i="3"/>
  <c r="H1283" i="25" s="1"/>
  <c r="H79" i="3"/>
  <c r="H1282" i="25" s="1"/>
  <c r="H60" i="3"/>
  <c r="H1261" i="25" s="1"/>
  <c r="H61" i="3"/>
  <c r="H1262" i="25" s="1"/>
  <c r="H59" i="3"/>
  <c r="H1260" i="25" s="1"/>
  <c r="H58" i="3"/>
  <c r="H1259" i="25" s="1"/>
  <c r="H57" i="3"/>
  <c r="H1258" i="25" s="1"/>
  <c r="H56" i="3"/>
  <c r="H1257" i="25" s="1"/>
  <c r="H42" i="3"/>
  <c r="H1244" i="25" s="1"/>
  <c r="D14" i="3"/>
  <c r="D1212" i="25" s="1"/>
  <c r="H24" i="3"/>
  <c r="H1225" i="25" s="1"/>
  <c r="S2" i="22" l="1"/>
  <c r="S4" i="22"/>
  <c r="S5" i="22"/>
  <c r="S6" i="22" s="1"/>
  <c r="S7" i="22" s="1"/>
  <c r="G10" i="22"/>
  <c r="M10" i="22" s="1"/>
  <c r="M9" i="22"/>
  <c r="F10" i="22"/>
  <c r="R4" i="22" s="1"/>
  <c r="L9" i="22"/>
  <c r="L5" i="22"/>
  <c r="L22" i="22" s="1"/>
  <c r="M4" i="22"/>
  <c r="H47" i="3"/>
  <c r="H1249" i="25" s="1"/>
  <c r="F121" i="3"/>
  <c r="F1326" i="25" s="1"/>
  <c r="G90" i="26" s="1"/>
  <c r="F247" i="25" s="1"/>
  <c r="H85" i="3"/>
  <c r="H1288" i="25" s="1"/>
  <c r="H62" i="3"/>
  <c r="H1264" i="25" s="1"/>
  <c r="H25" i="3"/>
  <c r="H1226" i="25" s="1"/>
  <c r="H22" i="3"/>
  <c r="H1223" i="25" s="1"/>
  <c r="D15" i="3"/>
  <c r="D1213" i="25" s="1"/>
  <c r="M15" i="22" l="1"/>
  <c r="M26" i="22" s="1"/>
  <c r="M19" i="22"/>
  <c r="L14" i="22"/>
  <c r="M5" i="22"/>
  <c r="L10" i="22"/>
  <c r="F20" i="22"/>
  <c r="H64" i="3"/>
  <c r="H1266" i="25" s="1"/>
  <c r="H87" i="3"/>
  <c r="H1290" i="25" s="1"/>
  <c r="H43" i="3"/>
  <c r="H1245" i="25" s="1"/>
  <c r="R2" i="22" l="1"/>
  <c r="U3" i="22"/>
  <c r="U2" i="22"/>
  <c r="T3" i="22"/>
  <c r="U5" i="22"/>
  <c r="U6" i="22"/>
  <c r="J123" i="22" s="1"/>
  <c r="T4" i="22"/>
  <c r="U4" i="22"/>
  <c r="U7" i="22"/>
  <c r="L15" i="22"/>
  <c r="L26" i="22" s="1"/>
  <c r="N26" i="22" s="1"/>
  <c r="L23" i="22"/>
  <c r="N23" i="22" s="1"/>
  <c r="M14" i="22"/>
  <c r="M23" i="22" s="1"/>
  <c r="O23" i="22" s="1"/>
  <c r="M22" i="22"/>
  <c r="O22" i="22" s="1"/>
  <c r="O26" i="22"/>
  <c r="N22" i="22"/>
  <c r="N19" i="22"/>
  <c r="O19" i="22"/>
  <c r="N14" i="22"/>
  <c r="N5" i="22"/>
  <c r="N4" i="22"/>
  <c r="O5" i="22"/>
  <c r="O15" i="22"/>
  <c r="O4" i="22"/>
  <c r="H10" i="22"/>
  <c r="N10" i="22" s="1"/>
  <c r="H5" i="22"/>
  <c r="N21" i="22" s="1"/>
  <c r="H4" i="22"/>
  <c r="N20" i="22" s="1"/>
  <c r="H17" i="22"/>
  <c r="N17" i="22" s="1"/>
  <c r="I3" i="22"/>
  <c r="O3" i="22" s="1"/>
  <c r="I17" i="22"/>
  <c r="O17" i="22" s="1"/>
  <c r="I14" i="22"/>
  <c r="O24" i="22" s="1"/>
  <c r="H14" i="22"/>
  <c r="N24" i="22" s="1"/>
  <c r="I15" i="22"/>
  <c r="O25" i="22" s="1"/>
  <c r="H6" i="22"/>
  <c r="N6" i="22" s="1"/>
  <c r="H11" i="22"/>
  <c r="N11" i="22" s="1"/>
  <c r="I16" i="22"/>
  <c r="O16" i="22" s="1"/>
  <c r="I4" i="22"/>
  <c r="O20" i="22" s="1"/>
  <c r="I7" i="22"/>
  <c r="O7" i="22" s="1"/>
  <c r="I6" i="22"/>
  <c r="O6" i="22" s="1"/>
  <c r="H2" i="22"/>
  <c r="N2" i="22" s="1"/>
  <c r="H3" i="22"/>
  <c r="N3" i="22" s="1"/>
  <c r="H15" i="22"/>
  <c r="N25" i="22" s="1"/>
  <c r="I12" i="22"/>
  <c r="O12" i="22" s="1"/>
  <c r="H16" i="22"/>
  <c r="N16" i="22" s="1"/>
  <c r="I9" i="22"/>
  <c r="O9" i="22" s="1"/>
  <c r="J44" i="22"/>
  <c r="I10" i="22"/>
  <c r="O10" i="22" s="1"/>
  <c r="H12" i="22"/>
  <c r="N12" i="22" s="1"/>
  <c r="I5" i="22"/>
  <c r="O21" i="22" s="1"/>
  <c r="I38" i="22"/>
  <c r="I13" i="22"/>
  <c r="O13" i="22" s="1"/>
  <c r="I2" i="22"/>
  <c r="O2" i="22" s="1"/>
  <c r="H7" i="22"/>
  <c r="N7" i="22" s="1"/>
  <c r="I37" i="22"/>
  <c r="I8" i="22"/>
  <c r="O8" i="22" s="1"/>
  <c r="H9" i="22"/>
  <c r="N9" i="22" s="1"/>
  <c r="H18" i="22"/>
  <c r="N18" i="22" s="1"/>
  <c r="I18" i="22"/>
  <c r="O18" i="22" s="1"/>
  <c r="I11" i="22"/>
  <c r="O11" i="22" s="1"/>
  <c r="H8" i="22"/>
  <c r="N8" i="22" s="1"/>
  <c r="H13" i="22"/>
  <c r="N13" i="22" s="1"/>
  <c r="H88" i="3"/>
  <c r="H1291" i="25" s="1"/>
  <c r="H65" i="3"/>
  <c r="H1267" i="25" s="1"/>
  <c r="N16" i="2"/>
  <c r="I28" i="2"/>
  <c r="H1134" i="25" s="1"/>
  <c r="R273" i="1"/>
  <c r="H183" i="1"/>
  <c r="J124" i="22" l="1"/>
  <c r="L123" i="22"/>
  <c r="R6" i="22"/>
  <c r="T6" i="22" s="1"/>
  <c r="R5" i="22"/>
  <c r="O14" i="22"/>
  <c r="T2" i="22"/>
  <c r="N15" i="22"/>
  <c r="H33" i="22"/>
  <c r="H188" i="1"/>
  <c r="V273" i="1"/>
  <c r="L33" i="22" s="1"/>
  <c r="Q16" i="2"/>
  <c r="H89" i="3"/>
  <c r="H1292" i="25" s="1"/>
  <c r="H159" i="1"/>
  <c r="C91" i="1"/>
  <c r="C97" i="1"/>
  <c r="B97" i="1"/>
  <c r="C96" i="1"/>
  <c r="B96" i="1"/>
  <c r="C95" i="1"/>
  <c r="B95" i="1"/>
  <c r="C94" i="1"/>
  <c r="B94" i="1"/>
  <c r="C93" i="1"/>
  <c r="B93" i="1"/>
  <c r="C92" i="1"/>
  <c r="B92" i="1"/>
  <c r="C62" i="1"/>
  <c r="C61" i="1"/>
  <c r="C60" i="1"/>
  <c r="C59" i="1"/>
  <c r="C58" i="1"/>
  <c r="C57" i="1"/>
  <c r="B62" i="1"/>
  <c r="B61" i="1"/>
  <c r="B60" i="1"/>
  <c r="B59" i="1"/>
  <c r="B58" i="1"/>
  <c r="B57" i="1"/>
  <c r="H32" i="1"/>
  <c r="H31" i="1"/>
  <c r="H30" i="1"/>
  <c r="E41" i="13"/>
  <c r="L124" i="22" l="1"/>
  <c r="N123" i="22"/>
  <c r="N124" i="22" s="1"/>
  <c r="R7" i="22"/>
  <c r="T7" i="22" s="1"/>
  <c r="T5" i="22"/>
  <c r="H44" i="13"/>
  <c r="E25" i="2"/>
  <c r="H184" i="1"/>
  <c r="H65" i="1"/>
  <c r="H21" i="5"/>
  <c r="H93" i="1"/>
  <c r="D97" i="1"/>
  <c r="H209" i="1"/>
  <c r="H141" i="1"/>
  <c r="H58" i="1"/>
  <c r="D92" i="1"/>
  <c r="H33" i="1"/>
  <c r="H92" i="1"/>
  <c r="D96" i="1"/>
  <c r="H59" i="1"/>
  <c r="E61" i="1"/>
  <c r="H95" i="1"/>
  <c r="D60" i="1"/>
  <c r="E59" i="1"/>
  <c r="D59" i="1"/>
  <c r="H61" i="1"/>
  <c r="E57" i="1"/>
  <c r="E60" i="1"/>
  <c r="H94" i="1"/>
  <c r="E62" i="1"/>
  <c r="H57" i="1"/>
  <c r="H62" i="1"/>
  <c r="H96" i="1"/>
  <c r="D57" i="1"/>
  <c r="D95" i="1"/>
  <c r="D94" i="1"/>
  <c r="D93" i="1"/>
  <c r="H97" i="1"/>
  <c r="E58" i="1"/>
  <c r="D58" i="1"/>
  <c r="D62" i="1"/>
  <c r="D61" i="1"/>
  <c r="H60" i="1"/>
  <c r="H59" i="12"/>
  <c r="F25" i="2" l="1"/>
  <c r="F1131" i="25" s="1"/>
  <c r="E1131" i="25"/>
  <c r="C47" i="13"/>
  <c r="H47" i="13" s="1"/>
  <c r="H142" i="1"/>
  <c r="E92" i="1"/>
  <c r="H187" i="1"/>
  <c r="E94" i="1"/>
  <c r="G25" i="2"/>
  <c r="G1131" i="25" s="1"/>
  <c r="E97" i="1"/>
  <c r="E95" i="1"/>
  <c r="E96" i="1"/>
  <c r="I34" i="2"/>
  <c r="H100" i="1"/>
  <c r="I2" i="24" s="1"/>
  <c r="H43" i="5"/>
  <c r="E93" i="1"/>
  <c r="E91" i="1"/>
  <c r="H35" i="1"/>
  <c r="H21" i="3"/>
  <c r="H1222" i="25" s="1"/>
  <c r="H201" i="1"/>
  <c r="H205" i="1"/>
  <c r="F59" i="1"/>
  <c r="G60" i="1"/>
  <c r="G57" i="1"/>
  <c r="G59" i="1"/>
  <c r="F57" i="1"/>
  <c r="G62" i="1"/>
  <c r="G58" i="1"/>
  <c r="F60" i="1"/>
  <c r="F61" i="1"/>
  <c r="H63" i="1"/>
  <c r="F62" i="1"/>
  <c r="F58" i="1"/>
  <c r="G61" i="1"/>
  <c r="D63" i="1"/>
  <c r="S38" i="2" l="1"/>
  <c r="S54" i="2"/>
  <c r="S46" i="2"/>
  <c r="H1140" i="25"/>
  <c r="S51" i="2"/>
  <c r="S39" i="2"/>
  <c r="S53" i="2"/>
  <c r="S37" i="2"/>
  <c r="S44" i="2"/>
  <c r="S45" i="2"/>
  <c r="S49" i="2"/>
  <c r="S55" i="2"/>
  <c r="S41" i="2"/>
  <c r="S42" i="2"/>
  <c r="S50" i="2"/>
  <c r="S43" i="2"/>
  <c r="S47" i="2"/>
  <c r="S48" i="2"/>
  <c r="S40" i="2"/>
  <c r="S52" i="2"/>
  <c r="S56" i="2"/>
  <c r="D47" i="13"/>
  <c r="G92" i="1"/>
  <c r="H210" i="1"/>
  <c r="H211" i="1" s="1"/>
  <c r="F92" i="1"/>
  <c r="G96" i="1"/>
  <c r="F97" i="1"/>
  <c r="F93" i="1"/>
  <c r="G93" i="1"/>
  <c r="F94" i="1"/>
  <c r="F96" i="1"/>
  <c r="G94" i="1"/>
  <c r="H25" i="2"/>
  <c r="H1131" i="25" s="1"/>
  <c r="H66" i="1"/>
  <c r="H206" i="1"/>
  <c r="F95" i="1"/>
  <c r="G95" i="1"/>
  <c r="G97" i="1"/>
  <c r="H36" i="1"/>
  <c r="H132" i="5" s="1"/>
  <c r="H202" i="1"/>
  <c r="H66" i="3"/>
  <c r="H1268" i="25" s="1"/>
  <c r="H28" i="3"/>
  <c r="H1229" i="25" s="1"/>
  <c r="G63" i="1"/>
  <c r="F63" i="1"/>
  <c r="H24" i="5" l="1"/>
  <c r="H45" i="5" s="1"/>
  <c r="H20" i="3"/>
  <c r="H1221" i="25" s="1"/>
  <c r="H143" i="1"/>
  <c r="H140" i="1"/>
  <c r="H5" i="15"/>
  <c r="H207" i="1"/>
  <c r="H37" i="1"/>
  <c r="H132" i="15" s="1"/>
  <c r="H579" i="25" s="1"/>
  <c r="H67" i="1"/>
  <c r="H45" i="12" s="1"/>
  <c r="H203" i="1"/>
  <c r="H14" i="15"/>
  <c r="H454" i="25" s="1"/>
  <c r="H49" i="15"/>
  <c r="H488" i="25" s="1"/>
  <c r="H43" i="15"/>
  <c r="H482" i="25" s="1"/>
  <c r="H7" i="15" l="1"/>
  <c r="H447" i="25" s="1"/>
  <c r="H445" i="25"/>
  <c r="H66" i="5"/>
  <c r="H138" i="15"/>
  <c r="H585" i="25" s="1"/>
  <c r="H70" i="3"/>
  <c r="H1272" i="25" s="1"/>
  <c r="H26" i="5"/>
  <c r="H47" i="5" s="1"/>
  <c r="H259" i="1"/>
  <c r="H260" i="1" s="1"/>
  <c r="H108" i="5"/>
  <c r="H133" i="5" s="1"/>
  <c r="H86" i="5"/>
  <c r="E36" i="13"/>
  <c r="B91" i="1"/>
  <c r="N168" i="15"/>
  <c r="N194" i="15" s="1"/>
  <c r="H69" i="1"/>
  <c r="H68" i="1"/>
  <c r="H25" i="5" s="1"/>
  <c r="H8" i="15"/>
  <c r="H448" i="25" s="1"/>
  <c r="H144" i="1"/>
  <c r="H50" i="15"/>
  <c r="H489" i="25" s="1"/>
  <c r="O168" i="15"/>
  <c r="O194" i="15" s="1"/>
  <c r="H44" i="15"/>
  <c r="H483" i="25" s="1"/>
  <c r="H15" i="15"/>
  <c r="H455" i="25" s="1"/>
  <c r="H26" i="3"/>
  <c r="H1227" i="25" s="1"/>
  <c r="H10" i="12"/>
  <c r="O6" i="5"/>
  <c r="H68" i="5"/>
  <c r="N202" i="15" l="1"/>
  <c r="C699" i="25" s="1"/>
  <c r="N203" i="15"/>
  <c r="C700" i="25" s="1"/>
  <c r="N204" i="15"/>
  <c r="C701" i="25" s="1"/>
  <c r="N205" i="15"/>
  <c r="C702" i="25" s="1"/>
  <c r="N206" i="15"/>
  <c r="C703" i="25" s="1"/>
  <c r="N207" i="15"/>
  <c r="C704" i="25" s="1"/>
  <c r="N208" i="15"/>
  <c r="C705" i="25" s="1"/>
  <c r="N209" i="15"/>
  <c r="C706" i="25" s="1"/>
  <c r="N210" i="15"/>
  <c r="C707" i="25" s="1"/>
  <c r="N211" i="15"/>
  <c r="C708" i="25" s="1"/>
  <c r="N195" i="15"/>
  <c r="C692" i="25" s="1"/>
  <c r="N198" i="15"/>
  <c r="C695" i="25" s="1"/>
  <c r="N212" i="15"/>
  <c r="C709" i="25" s="1"/>
  <c r="N196" i="15"/>
  <c r="C693" i="25" s="1"/>
  <c r="N213" i="15"/>
  <c r="C710" i="25" s="1"/>
  <c r="N197" i="15"/>
  <c r="C694" i="25" s="1"/>
  <c r="N201" i="15"/>
  <c r="C698" i="25" s="1"/>
  <c r="N214" i="15"/>
  <c r="C711" i="25" s="1"/>
  <c r="N200" i="15"/>
  <c r="C697" i="25" s="1"/>
  <c r="N215" i="15"/>
  <c r="C712" i="25" s="1"/>
  <c r="N199" i="15"/>
  <c r="C696" i="25" s="1"/>
  <c r="O203" i="15"/>
  <c r="D700" i="25" s="1"/>
  <c r="O204" i="15"/>
  <c r="D701" i="25" s="1"/>
  <c r="O205" i="15"/>
  <c r="D702" i="25" s="1"/>
  <c r="O206" i="15"/>
  <c r="D703" i="25" s="1"/>
  <c r="O207" i="15"/>
  <c r="D704" i="25" s="1"/>
  <c r="O208" i="15"/>
  <c r="D705" i="25" s="1"/>
  <c r="O209" i="15"/>
  <c r="D706" i="25" s="1"/>
  <c r="O199" i="15"/>
  <c r="D696" i="25" s="1"/>
  <c r="O202" i="15"/>
  <c r="D699" i="25" s="1"/>
  <c r="O210" i="15"/>
  <c r="D707" i="25" s="1"/>
  <c r="O211" i="15"/>
  <c r="D708" i="25" s="1"/>
  <c r="O195" i="15"/>
  <c r="D692" i="25" s="1"/>
  <c r="O212" i="15"/>
  <c r="D709" i="25" s="1"/>
  <c r="O196" i="15"/>
  <c r="D693" i="25" s="1"/>
  <c r="O213" i="15"/>
  <c r="D710" i="25" s="1"/>
  <c r="O197" i="15"/>
  <c r="D694" i="25" s="1"/>
  <c r="O214" i="15"/>
  <c r="D711" i="25" s="1"/>
  <c r="O198" i="15"/>
  <c r="D695" i="25" s="1"/>
  <c r="O215" i="15"/>
  <c r="D712" i="25" s="1"/>
  <c r="O200" i="15"/>
  <c r="D697" i="25" s="1"/>
  <c r="O201" i="15"/>
  <c r="D698" i="25" s="1"/>
  <c r="N181" i="15"/>
  <c r="C652" i="25" s="1"/>
  <c r="C639" i="25"/>
  <c r="O186" i="15"/>
  <c r="D657" i="25" s="1"/>
  <c r="D639" i="25"/>
  <c r="H140" i="15"/>
  <c r="H587" i="25" s="1"/>
  <c r="H158" i="15"/>
  <c r="H611" i="25" s="1"/>
  <c r="N172" i="15"/>
  <c r="C643" i="25" s="1"/>
  <c r="N182" i="15"/>
  <c r="C653" i="25" s="1"/>
  <c r="N174" i="15"/>
  <c r="C645" i="25" s="1"/>
  <c r="N183" i="15"/>
  <c r="C654" i="25" s="1"/>
  <c r="N184" i="15"/>
  <c r="C655" i="25" s="1"/>
  <c r="N175" i="15"/>
  <c r="C646" i="25" s="1"/>
  <c r="N176" i="15"/>
  <c r="C647" i="25" s="1"/>
  <c r="N188" i="15"/>
  <c r="C659" i="25" s="1"/>
  <c r="N179" i="15"/>
  <c r="C650" i="25" s="1"/>
  <c r="N185" i="15"/>
  <c r="C656" i="25" s="1"/>
  <c r="N170" i="15"/>
  <c r="C641" i="25" s="1"/>
  <c r="N173" i="15"/>
  <c r="C644" i="25" s="1"/>
  <c r="N186" i="15"/>
  <c r="N180" i="15"/>
  <c r="C651" i="25" s="1"/>
  <c r="N178" i="15"/>
  <c r="C649" i="25" s="1"/>
  <c r="N177" i="15"/>
  <c r="C648" i="25" s="1"/>
  <c r="N187" i="15"/>
  <c r="C658" i="25" s="1"/>
  <c r="H167" i="15"/>
  <c r="H621" i="25" s="1"/>
  <c r="H67" i="5"/>
  <c r="H169" i="15"/>
  <c r="N171" i="15"/>
  <c r="C642" i="25" s="1"/>
  <c r="N169" i="15"/>
  <c r="C640" i="25" s="1"/>
  <c r="H91" i="1"/>
  <c r="D91" i="1"/>
  <c r="H148" i="1"/>
  <c r="I30" i="2"/>
  <c r="N189" i="15"/>
  <c r="C660" i="25" s="1"/>
  <c r="O177" i="15"/>
  <c r="D648" i="25" s="1"/>
  <c r="O179" i="15"/>
  <c r="D650" i="25" s="1"/>
  <c r="O178" i="15"/>
  <c r="D649" i="25" s="1"/>
  <c r="O187" i="15"/>
  <c r="D658" i="25" s="1"/>
  <c r="O180" i="15"/>
  <c r="D651" i="25" s="1"/>
  <c r="O170" i="15"/>
  <c r="D641" i="25" s="1"/>
  <c r="O172" i="15"/>
  <c r="D643" i="25" s="1"/>
  <c r="O174" i="15"/>
  <c r="D645" i="25" s="1"/>
  <c r="O183" i="15"/>
  <c r="D654" i="25" s="1"/>
  <c r="O185" i="15"/>
  <c r="D656" i="25" s="1"/>
  <c r="O171" i="15"/>
  <c r="D642" i="25" s="1"/>
  <c r="O184" i="15"/>
  <c r="D655" i="25" s="1"/>
  <c r="O188" i="15"/>
  <c r="D659" i="25" s="1"/>
  <c r="O176" i="15"/>
  <c r="D647" i="25" s="1"/>
  <c r="O182" i="15"/>
  <c r="D653" i="25" s="1"/>
  <c r="O169" i="15"/>
  <c r="D640" i="25" s="1"/>
  <c r="O181" i="15"/>
  <c r="O173" i="15"/>
  <c r="D644" i="25" s="1"/>
  <c r="O189" i="15"/>
  <c r="D660" i="25" s="1"/>
  <c r="O175" i="15"/>
  <c r="D646" i="25" s="1"/>
  <c r="O11" i="5"/>
  <c r="H107" i="5"/>
  <c r="H71" i="3"/>
  <c r="H1273" i="25" s="1"/>
  <c r="O5" i="5"/>
  <c r="H46" i="5"/>
  <c r="H4" i="12"/>
  <c r="H22" i="12"/>
  <c r="H12" i="12"/>
  <c r="H88" i="5"/>
  <c r="H110" i="5"/>
  <c r="H71" i="1"/>
  <c r="H19" i="3"/>
  <c r="H1220" i="25" s="1"/>
  <c r="H70" i="1"/>
  <c r="H1136" i="25" l="1"/>
  <c r="Y197" i="15"/>
  <c r="G718" i="25" s="1"/>
  <c r="Y198" i="15"/>
  <c r="G719" i="25" s="1"/>
  <c r="Y196" i="15"/>
  <c r="G717" i="25" s="1"/>
  <c r="Y195" i="15"/>
  <c r="G716" i="25" s="1"/>
  <c r="Y211" i="15"/>
  <c r="G732" i="25" s="1"/>
  <c r="Y210" i="15"/>
  <c r="G731" i="25" s="1"/>
  <c r="Y209" i="15"/>
  <c r="G730" i="25" s="1"/>
  <c r="Y212" i="15"/>
  <c r="G733" i="25" s="1"/>
  <c r="Y208" i="15"/>
  <c r="G729" i="25" s="1"/>
  <c r="Y207" i="15"/>
  <c r="G728" i="25" s="1"/>
  <c r="Y199" i="15"/>
  <c r="G720" i="25" s="1"/>
  <c r="Y206" i="15"/>
  <c r="G727" i="25" s="1"/>
  <c r="H130" i="5"/>
  <c r="H623" i="25"/>
  <c r="Y215" i="15"/>
  <c r="G736" i="25" s="1"/>
  <c r="Y205" i="15"/>
  <c r="G726" i="25" s="1"/>
  <c r="Y213" i="15"/>
  <c r="G734" i="25" s="1"/>
  <c r="Y200" i="15"/>
  <c r="G721" i="25" s="1"/>
  <c r="Y204" i="15"/>
  <c r="G725" i="25" s="1"/>
  <c r="Y214" i="15"/>
  <c r="G735" i="25" s="1"/>
  <c r="Y203" i="15"/>
  <c r="G724" i="25" s="1"/>
  <c r="Y201" i="15"/>
  <c r="G722" i="25" s="1"/>
  <c r="Y202" i="15"/>
  <c r="G723" i="25" s="1"/>
  <c r="Y186" i="15"/>
  <c r="G682" i="25" s="1"/>
  <c r="C657" i="25"/>
  <c r="Y181" i="15"/>
  <c r="G677" i="25" s="1"/>
  <c r="D652" i="25"/>
  <c r="Y182" i="15"/>
  <c r="G678" i="25" s="1"/>
  <c r="Y187" i="15"/>
  <c r="G683" i="25" s="1"/>
  <c r="Y172" i="15"/>
  <c r="G668" i="25" s="1"/>
  <c r="Y175" i="15"/>
  <c r="G671" i="25" s="1"/>
  <c r="Y189" i="15"/>
  <c r="G685" i="25" s="1"/>
  <c r="Y184" i="15"/>
  <c r="G680" i="25" s="1"/>
  <c r="Y174" i="15"/>
  <c r="G670" i="25" s="1"/>
  <c r="Y183" i="15"/>
  <c r="G679" i="25" s="1"/>
  <c r="Y176" i="15"/>
  <c r="G672" i="25" s="1"/>
  <c r="H87" i="5"/>
  <c r="Y180" i="15"/>
  <c r="G676" i="25" s="1"/>
  <c r="Y179" i="15"/>
  <c r="G675" i="25" s="1"/>
  <c r="Y170" i="15"/>
  <c r="G666" i="25" s="1"/>
  <c r="Y178" i="15"/>
  <c r="G674" i="25" s="1"/>
  <c r="Y173" i="15"/>
  <c r="G669" i="25" s="1"/>
  <c r="Y188" i="15"/>
  <c r="G684" i="25" s="1"/>
  <c r="Y185" i="15"/>
  <c r="G681" i="25" s="1"/>
  <c r="H109" i="5"/>
  <c r="Y177" i="15"/>
  <c r="G673" i="25" s="1"/>
  <c r="Y171" i="15"/>
  <c r="G667" i="25" s="1"/>
  <c r="F91" i="1"/>
  <c r="D98" i="1"/>
  <c r="G91" i="1"/>
  <c r="H33" i="15"/>
  <c r="H473" i="25" s="1"/>
  <c r="H24" i="12"/>
  <c r="D178" i="1"/>
  <c r="Y169" i="15"/>
  <c r="G665" i="25" s="1"/>
  <c r="H234" i="1"/>
  <c r="H129" i="5"/>
  <c r="I4" i="2"/>
  <c r="H1110" i="25" s="1"/>
  <c r="H9" i="12"/>
  <c r="H98" i="1"/>
  <c r="O10" i="5"/>
  <c r="O16" i="5"/>
  <c r="H23" i="5"/>
  <c r="H1378" i="25" s="1"/>
  <c r="H27" i="5"/>
  <c r="H146" i="1"/>
  <c r="H28" i="5"/>
  <c r="H68" i="3"/>
  <c r="H1270" i="25" s="1"/>
  <c r="H29" i="3"/>
  <c r="H1230" i="25" s="1"/>
  <c r="H145" i="1"/>
  <c r="C63" i="22" l="1"/>
  <c r="K64" i="22" s="1"/>
  <c r="C64" i="22"/>
  <c r="K65" i="22" s="1"/>
  <c r="T13" i="2"/>
  <c r="T9" i="2"/>
  <c r="H235" i="1"/>
  <c r="H18" i="3"/>
  <c r="H1219" i="25" s="1"/>
  <c r="R8" i="2"/>
  <c r="N10" i="2"/>
  <c r="O40" i="2" s="1"/>
  <c r="R10" i="2"/>
  <c r="H153" i="1"/>
  <c r="R12" i="2"/>
  <c r="T12" i="2"/>
  <c r="V7" i="2"/>
  <c r="P10" i="2"/>
  <c r="O50" i="2" s="1"/>
  <c r="P5" i="2"/>
  <c r="O45" i="2" s="1"/>
  <c r="R5" i="2"/>
  <c r="O55" i="2" s="1"/>
  <c r="N14" i="2"/>
  <c r="O44" i="2" s="1"/>
  <c r="T5" i="2"/>
  <c r="N9" i="2"/>
  <c r="O39" i="2" s="1"/>
  <c r="P12" i="2"/>
  <c r="O52" i="2" s="1"/>
  <c r="P6" i="2"/>
  <c r="O46" i="2" s="1"/>
  <c r="V6" i="2"/>
  <c r="R7" i="2"/>
  <c r="P13" i="2"/>
  <c r="O53" i="2" s="1"/>
  <c r="T11" i="2"/>
  <c r="R9" i="2"/>
  <c r="H35" i="15"/>
  <c r="H475" i="25" s="1"/>
  <c r="P8" i="2"/>
  <c r="O48" i="2" s="1"/>
  <c r="R6" i="2"/>
  <c r="O56" i="2" s="1"/>
  <c r="T14" i="2"/>
  <c r="H21" i="12"/>
  <c r="G98" i="1"/>
  <c r="P7" i="2"/>
  <c r="O47" i="2" s="1"/>
  <c r="N11" i="2"/>
  <c r="O41" i="2" s="1"/>
  <c r="H101" i="1"/>
  <c r="H65" i="5"/>
  <c r="H1420" i="25" s="1"/>
  <c r="R11" i="2"/>
  <c r="R14" i="2"/>
  <c r="H154" i="1"/>
  <c r="P11" i="2"/>
  <c r="O51" i="2" s="1"/>
  <c r="P9" i="2"/>
  <c r="O49" i="2" s="1"/>
  <c r="N7" i="2"/>
  <c r="O37" i="2" s="1"/>
  <c r="T8" i="2"/>
  <c r="N13" i="2"/>
  <c r="O43" i="2" s="1"/>
  <c r="H69" i="5"/>
  <c r="T10" i="2"/>
  <c r="N5" i="2"/>
  <c r="I29" i="2"/>
  <c r="H1135" i="25" s="1"/>
  <c r="R13" i="2"/>
  <c r="V5" i="2"/>
  <c r="N12" i="2"/>
  <c r="O42" i="2" s="1"/>
  <c r="N8" i="2"/>
  <c r="O38" i="2" s="1"/>
  <c r="T6" i="2"/>
  <c r="H29" i="5"/>
  <c r="N6" i="2"/>
  <c r="P14" i="2"/>
  <c r="O54" i="2" s="1"/>
  <c r="T7" i="2"/>
  <c r="F98" i="1"/>
  <c r="O15" i="5"/>
  <c r="H48" i="5"/>
  <c r="H49" i="5"/>
  <c r="H70" i="5"/>
  <c r="O36" i="2" l="1"/>
  <c r="C40" i="24" s="1"/>
  <c r="C84" i="22"/>
  <c r="K85" i="22" s="1"/>
  <c r="C83" i="22"/>
  <c r="K84" i="22" s="1"/>
  <c r="H155" i="1"/>
  <c r="H160" i="1" s="1"/>
  <c r="H111" i="5"/>
  <c r="H89" i="5"/>
  <c r="C54" i="24"/>
  <c r="C49" i="24"/>
  <c r="C52" i="24"/>
  <c r="C41" i="24"/>
  <c r="C51" i="24"/>
  <c r="H102" i="1"/>
  <c r="H46" i="12" s="1"/>
  <c r="C45" i="24"/>
  <c r="H71" i="5"/>
  <c r="C50" i="24"/>
  <c r="C44" i="24"/>
  <c r="H106" i="5"/>
  <c r="H1461" i="25" s="1"/>
  <c r="H18" i="13"/>
  <c r="H134" i="5"/>
  <c r="C56" i="24"/>
  <c r="C57" i="24"/>
  <c r="C53" i="24"/>
  <c r="C42" i="24"/>
  <c r="C43" i="24"/>
  <c r="H67" i="3"/>
  <c r="H1269" i="25" s="1"/>
  <c r="H50" i="5"/>
  <c r="H33" i="12"/>
  <c r="C47" i="24"/>
  <c r="C55" i="24"/>
  <c r="C46" i="24"/>
  <c r="C48" i="24"/>
  <c r="H58" i="13"/>
  <c r="C58" i="24"/>
  <c r="N17" i="2"/>
  <c r="C60" i="24"/>
  <c r="C59" i="24"/>
  <c r="H90" i="5"/>
  <c r="H112" i="5"/>
  <c r="E46" i="24" l="1"/>
  <c r="E47" i="24"/>
  <c r="E41" i="24"/>
  <c r="E48" i="24"/>
  <c r="E51" i="24"/>
  <c r="E42" i="24"/>
  <c r="E49" i="24"/>
  <c r="E44" i="24"/>
  <c r="E45" i="24"/>
  <c r="E52" i="24"/>
  <c r="E57" i="24"/>
  <c r="E50" i="24"/>
  <c r="E54" i="24"/>
  <c r="E56" i="24"/>
  <c r="E55" i="24"/>
  <c r="E43" i="24"/>
  <c r="E53" i="24"/>
  <c r="E59" i="24"/>
  <c r="E60" i="24"/>
  <c r="E58" i="24"/>
  <c r="C104" i="22"/>
  <c r="K105" i="22" s="1"/>
  <c r="C103" i="22"/>
  <c r="K104" i="22" s="1"/>
  <c r="H161" i="1"/>
  <c r="H162" i="1" s="1"/>
  <c r="R81" i="14"/>
  <c r="H104" i="1"/>
  <c r="H118" i="15"/>
  <c r="H566" i="25" s="1"/>
  <c r="H103" i="1"/>
  <c r="H102" i="15" s="1"/>
  <c r="H551" i="25" s="1"/>
  <c r="H136" i="5"/>
  <c r="H91" i="5"/>
  <c r="H128" i="5"/>
  <c r="H1488" i="25" s="1"/>
  <c r="Q17" i="2"/>
  <c r="H113" i="5"/>
  <c r="H140" i="5" s="1"/>
  <c r="H59" i="13"/>
  <c r="H134" i="15" l="1"/>
  <c r="H581" i="25" s="1"/>
  <c r="H47" i="12"/>
  <c r="H136" i="15"/>
  <c r="H137" i="15"/>
  <c r="H34" i="12"/>
  <c r="O23" i="5"/>
  <c r="H135" i="5"/>
  <c r="H105" i="1"/>
  <c r="H106" i="1"/>
  <c r="H107" i="1"/>
  <c r="V16" i="2"/>
  <c r="H49" i="12" l="1"/>
  <c r="H1621" i="25" s="1"/>
  <c r="H1604" i="25"/>
  <c r="H142" i="15"/>
  <c r="H591" i="25" s="1"/>
  <c r="H584" i="25"/>
  <c r="H141" i="15"/>
  <c r="H583" i="25"/>
  <c r="H153" i="15"/>
  <c r="H605" i="25" s="1"/>
  <c r="H154" i="15"/>
  <c r="H606" i="25" s="1"/>
  <c r="H152" i="15"/>
  <c r="H604" i="25" s="1"/>
  <c r="H151" i="15"/>
  <c r="H602" i="25" s="1"/>
  <c r="I92" i="23"/>
  <c r="O20" i="5"/>
  <c r="H103" i="15"/>
  <c r="H552" i="25" s="1"/>
  <c r="H48" i="12"/>
  <c r="H139" i="5"/>
  <c r="C126" i="22" s="1"/>
  <c r="H137" i="5"/>
  <c r="F9" i="3"/>
  <c r="F1207" i="25" s="1"/>
  <c r="V17" i="2"/>
  <c r="H138" i="5"/>
  <c r="H143" i="5" s="1"/>
  <c r="T21" i="5" s="1"/>
  <c r="U21" i="5" s="1"/>
  <c r="H36" i="12"/>
  <c r="H1607" i="25" s="1"/>
  <c r="E245" i="1"/>
  <c r="H32" i="2"/>
  <c r="G1138" i="25" s="1"/>
  <c r="T270" i="1"/>
  <c r="P273" i="1"/>
  <c r="F33" i="22" s="1"/>
  <c r="F38" i="22" s="1"/>
  <c r="H38" i="22" s="1"/>
  <c r="J38" i="22" s="1"/>
  <c r="H33" i="2"/>
  <c r="G1139" i="25" s="1"/>
  <c r="T271" i="1"/>
  <c r="C254" i="1"/>
  <c r="H34" i="2"/>
  <c r="G1140" i="25" s="1"/>
  <c r="C22" i="2"/>
  <c r="C1128" i="25" s="1"/>
  <c r="C253" i="1"/>
  <c r="P271" i="1"/>
  <c r="F31" i="22" s="1"/>
  <c r="F36" i="22" s="1"/>
  <c r="Q76" i="14"/>
  <c r="T272" i="1"/>
  <c r="F32" i="2"/>
  <c r="F1138" i="25" s="1"/>
  <c r="F31" i="2"/>
  <c r="F1137" i="25" s="1"/>
  <c r="Q270" i="1"/>
  <c r="F34" i="2"/>
  <c r="F1140" i="25" s="1"/>
  <c r="C23" i="2"/>
  <c r="C1129" i="25" s="1"/>
  <c r="Q271" i="1"/>
  <c r="T273" i="1"/>
  <c r="F33" i="2"/>
  <c r="F1139" i="25" s="1"/>
  <c r="P270" i="1"/>
  <c r="F30" i="22" s="1"/>
  <c r="F35" i="22" s="1"/>
  <c r="Q273" i="1"/>
  <c r="R76" i="14"/>
  <c r="H31" i="2"/>
  <c r="G1137" i="25" s="1"/>
  <c r="Q272" i="1"/>
  <c r="P272" i="1"/>
  <c r="F32" i="22" s="1"/>
  <c r="F37" i="22" s="1"/>
  <c r="E231" i="1"/>
  <c r="I8" i="23" l="1"/>
  <c r="H590" i="25"/>
  <c r="H155" i="15"/>
  <c r="C123" i="22"/>
  <c r="H141" i="5"/>
  <c r="T20" i="5" s="1"/>
  <c r="U20" i="5" s="1"/>
  <c r="C125" i="22"/>
  <c r="C124" i="22"/>
  <c r="B126" i="22"/>
  <c r="B123" i="22"/>
  <c r="D123" i="22" s="1"/>
  <c r="E123" i="22" s="1"/>
  <c r="B125" i="22"/>
  <c r="B124" i="22"/>
  <c r="D124" i="22" s="1"/>
  <c r="E124" i="22" s="1"/>
  <c r="G36" i="22"/>
  <c r="I36" i="22" s="1"/>
  <c r="G35" i="22"/>
  <c r="I35" i="22" s="1"/>
  <c r="G30" i="22"/>
  <c r="G33" i="22"/>
  <c r="G32" i="22"/>
  <c r="J31" i="22"/>
  <c r="J33" i="22"/>
  <c r="G31" i="22"/>
  <c r="J32" i="22"/>
  <c r="J30" i="22"/>
  <c r="H245" i="1"/>
  <c r="H60" i="12"/>
  <c r="H63" i="12"/>
  <c r="H231" i="1"/>
  <c r="U76" i="14"/>
  <c r="H104" i="15"/>
  <c r="O21" i="5"/>
  <c r="O22" i="5" s="1"/>
  <c r="H9" i="3"/>
  <c r="H1207" i="25" s="1"/>
  <c r="C255" i="1"/>
  <c r="V76" i="14"/>
  <c r="R77" i="14"/>
  <c r="E232" i="1"/>
  <c r="B25" i="2"/>
  <c r="B1131" i="25" s="1"/>
  <c r="S273" i="1"/>
  <c r="I33" i="22" s="1"/>
  <c r="F44" i="22" s="1"/>
  <c r="Q77" i="14"/>
  <c r="P76" i="14"/>
  <c r="E247" i="1"/>
  <c r="B23" i="2"/>
  <c r="B1129" i="25" s="1"/>
  <c r="S271" i="1"/>
  <c r="I31" i="22" s="1"/>
  <c r="F42" i="22" s="1"/>
  <c r="E253" i="1"/>
  <c r="T76" i="14"/>
  <c r="B22" i="2"/>
  <c r="B1128" i="25" s="1"/>
  <c r="S270" i="1"/>
  <c r="I30" i="22" s="1"/>
  <c r="F41" i="22" s="1"/>
  <c r="S76" i="14"/>
  <c r="B24" i="2"/>
  <c r="B1130" i="25" s="1"/>
  <c r="S272" i="1"/>
  <c r="I32" i="22" s="1"/>
  <c r="F43" i="22" s="1"/>
  <c r="E254" i="1"/>
  <c r="R168" i="15" l="1"/>
  <c r="R194" i="15" s="1"/>
  <c r="H553" i="25"/>
  <c r="R195" i="15"/>
  <c r="R196" i="15" s="1"/>
  <c r="R197" i="15" s="1"/>
  <c r="R198" i="15" s="1"/>
  <c r="R199" i="15" s="1"/>
  <c r="R200" i="15" s="1"/>
  <c r="R201" i="15" s="1"/>
  <c r="R202" i="15" s="1"/>
  <c r="R203" i="15" s="1"/>
  <c r="R204" i="15" s="1"/>
  <c r="R205" i="15" s="1"/>
  <c r="R206" i="15" s="1"/>
  <c r="R207" i="15" s="1"/>
  <c r="R208" i="15" s="1"/>
  <c r="R209" i="15" s="1"/>
  <c r="R210" i="15" s="1"/>
  <c r="R211" i="15" s="1"/>
  <c r="R212" i="15" s="1"/>
  <c r="R213" i="15" s="1"/>
  <c r="R214" i="15" s="1"/>
  <c r="R215" i="15" s="1"/>
  <c r="H156" i="15"/>
  <c r="H607" i="25"/>
  <c r="I88" i="23"/>
  <c r="L88" i="23"/>
  <c r="L89" i="23" s="1"/>
  <c r="G639" i="25"/>
  <c r="D125" i="22"/>
  <c r="D126" i="22"/>
  <c r="G45" i="22"/>
  <c r="G43" i="22" s="1"/>
  <c r="G42" i="22"/>
  <c r="I42" i="22" s="1"/>
  <c r="G41" i="22"/>
  <c r="I41" i="22" s="1"/>
  <c r="R169" i="15"/>
  <c r="G640" i="25" s="1"/>
  <c r="H51" i="12"/>
  <c r="H1624" i="25" s="1"/>
  <c r="H67" i="12"/>
  <c r="H1640" i="25" s="1"/>
  <c r="H10" i="3"/>
  <c r="H1208" i="25" s="1"/>
  <c r="C24" i="2"/>
  <c r="C1130" i="25" s="1"/>
  <c r="H73" i="12"/>
  <c r="H85" i="12"/>
  <c r="H94" i="12"/>
  <c r="H81" i="12"/>
  <c r="R177" i="15"/>
  <c r="G648" i="25" s="1"/>
  <c r="R173" i="15"/>
  <c r="G644" i="25" s="1"/>
  <c r="R189" i="15"/>
  <c r="G660" i="25" s="1"/>
  <c r="R185" i="15"/>
  <c r="G656" i="25" s="1"/>
  <c r="R184" i="15"/>
  <c r="G655" i="25" s="1"/>
  <c r="R187" i="15"/>
  <c r="G658" i="25" s="1"/>
  <c r="R170" i="15"/>
  <c r="G641" i="25" s="1"/>
  <c r="R180" i="15"/>
  <c r="G651" i="25" s="1"/>
  <c r="H171" i="15"/>
  <c r="H625" i="25" s="1"/>
  <c r="R172" i="15"/>
  <c r="G643" i="25" s="1"/>
  <c r="R186" i="15"/>
  <c r="G657" i="25" s="1"/>
  <c r="R179" i="15"/>
  <c r="G650" i="25" s="1"/>
  <c r="R183" i="15"/>
  <c r="G654" i="25" s="1"/>
  <c r="R188" i="15"/>
  <c r="G659" i="25" s="1"/>
  <c r="R171" i="15"/>
  <c r="G642" i="25" s="1"/>
  <c r="R175" i="15"/>
  <c r="G646" i="25" s="1"/>
  <c r="R182" i="15"/>
  <c r="G653" i="25" s="1"/>
  <c r="R174" i="15"/>
  <c r="G645" i="25" s="1"/>
  <c r="R181" i="15"/>
  <c r="G652" i="25" s="1"/>
  <c r="R176" i="15"/>
  <c r="G647" i="25" s="1"/>
  <c r="H88" i="12"/>
  <c r="R178" i="15"/>
  <c r="G649" i="25" s="1"/>
  <c r="H247" i="1"/>
  <c r="E255" i="1"/>
  <c r="R78" i="14"/>
  <c r="C25" i="2"/>
  <c r="C1131" i="25" s="1"/>
  <c r="C256" i="1"/>
  <c r="P77" i="14"/>
  <c r="E248" i="1"/>
  <c r="D24" i="2"/>
  <c r="D1130" i="25" s="1"/>
  <c r="D23" i="2"/>
  <c r="D1129" i="25" s="1"/>
  <c r="V77" i="14"/>
  <c r="U77" i="14"/>
  <c r="S77" i="14"/>
  <c r="T77" i="14"/>
  <c r="D22" i="2"/>
  <c r="D1128" i="25" s="1"/>
  <c r="H232" i="1"/>
  <c r="H159" i="15" l="1"/>
  <c r="H612" i="25" s="1"/>
  <c r="H608" i="25"/>
  <c r="M89" i="23"/>
  <c r="H143" i="15"/>
  <c r="I43" i="22"/>
  <c r="G44" i="22"/>
  <c r="I44" i="22" s="1"/>
  <c r="H68" i="12"/>
  <c r="H1641" i="25" s="1"/>
  <c r="I81" i="12"/>
  <c r="I94" i="12"/>
  <c r="H236" i="1"/>
  <c r="I85" i="12"/>
  <c r="H89" i="12"/>
  <c r="I73" i="12"/>
  <c r="H248" i="1"/>
  <c r="H3" i="13"/>
  <c r="H237" i="1"/>
  <c r="E256" i="1"/>
  <c r="H165" i="1"/>
  <c r="E249" i="1"/>
  <c r="D25" i="2"/>
  <c r="D1131" i="25" s="1"/>
  <c r="H145" i="15" l="1"/>
  <c r="H592" i="25"/>
  <c r="H249" i="1"/>
  <c r="U271" i="1"/>
  <c r="U270" i="1" s="1"/>
  <c r="H7" i="13"/>
  <c r="H69" i="12"/>
  <c r="H1642" i="25" s="1"/>
  <c r="I1642" i="25" s="1"/>
  <c r="I89" i="12"/>
  <c r="H106" i="12"/>
  <c r="H23" i="3"/>
  <c r="H1224" i="25" s="1"/>
  <c r="E257" i="1"/>
  <c r="C173" i="1"/>
  <c r="H173" i="1" s="1"/>
  <c r="H166" i="1"/>
  <c r="U272" i="1"/>
  <c r="H238" i="1"/>
  <c r="H595" i="25" l="1"/>
  <c r="H161" i="15"/>
  <c r="I17" i="24"/>
  <c r="H261" i="1"/>
  <c r="K32" i="22"/>
  <c r="K30" i="22"/>
  <c r="K31" i="22"/>
  <c r="D173" i="1"/>
  <c r="I69" i="12"/>
  <c r="C108" i="12"/>
  <c r="H27" i="3"/>
  <c r="H1228" i="25" s="1"/>
  <c r="C241" i="1"/>
  <c r="H262" i="1"/>
  <c r="H19" i="13"/>
  <c r="H8" i="12"/>
  <c r="H167" i="1"/>
  <c r="H168" i="1"/>
  <c r="F178" i="1" s="1"/>
  <c r="H22" i="5"/>
  <c r="H3" i="3"/>
  <c r="H1201" i="25" s="1"/>
  <c r="H180" i="1"/>
  <c r="H162" i="15" l="1"/>
  <c r="H615" i="25"/>
  <c r="B64" i="22"/>
  <c r="I65" i="22" s="1"/>
  <c r="B63" i="22"/>
  <c r="I64" i="22" s="1"/>
  <c r="A63" i="22"/>
  <c r="G64" i="22" s="1"/>
  <c r="H43" i="22"/>
  <c r="J43" i="22" s="1"/>
  <c r="H42" i="22"/>
  <c r="J42" i="22" s="1"/>
  <c r="H41" i="22"/>
  <c r="J41" i="22" s="1"/>
  <c r="H241" i="1"/>
  <c r="H44" i="3"/>
  <c r="H1246" i="25" s="1"/>
  <c r="H30" i="3"/>
  <c r="H1231" i="25" s="1"/>
  <c r="H32" i="3"/>
  <c r="H1233" i="25" s="1"/>
  <c r="H108" i="12"/>
  <c r="D108" i="12"/>
  <c r="H30" i="5"/>
  <c r="H1385" i="25" s="1"/>
  <c r="H11" i="12"/>
  <c r="H123" i="3"/>
  <c r="H1329" i="25" s="1"/>
  <c r="I78" i="26" s="1"/>
  <c r="H235" i="25" s="1"/>
  <c r="R270" i="1"/>
  <c r="R272" i="1"/>
  <c r="H32" i="22" s="1"/>
  <c r="H37" i="22" s="1"/>
  <c r="J37" i="22" s="1"/>
  <c r="R271" i="1"/>
  <c r="C266" i="1"/>
  <c r="H263" i="1"/>
  <c r="H52" i="13"/>
  <c r="B178" i="1"/>
  <c r="H6" i="3"/>
  <c r="H1204" i="25" s="1"/>
  <c r="H44" i="5"/>
  <c r="H31" i="5"/>
  <c r="H1386" i="25" s="1"/>
  <c r="H163" i="15" l="1"/>
  <c r="H616" i="25"/>
  <c r="R63" i="22"/>
  <c r="S64" i="22"/>
  <c r="Z65" i="22" s="1"/>
  <c r="S63" i="22"/>
  <c r="Z64" i="22" s="1"/>
  <c r="A64" i="22"/>
  <c r="D63" i="22"/>
  <c r="M64" i="22" s="1"/>
  <c r="V270" i="1"/>
  <c r="L30" i="22" s="1"/>
  <c r="H30" i="22"/>
  <c r="H35" i="22" s="1"/>
  <c r="J35" i="22" s="1"/>
  <c r="V271" i="1"/>
  <c r="L31" i="22" s="1"/>
  <c r="H31" i="22"/>
  <c r="H36" i="22" s="1"/>
  <c r="J36" i="22" s="1"/>
  <c r="H178" i="1"/>
  <c r="H14" i="12"/>
  <c r="E23" i="2"/>
  <c r="T5" i="5"/>
  <c r="E1520" i="25" s="1"/>
  <c r="F180" i="26" s="1"/>
  <c r="E347" i="25" s="1"/>
  <c r="H34" i="3"/>
  <c r="H1236" i="25" s="1"/>
  <c r="C178" i="1"/>
  <c r="H69" i="3"/>
  <c r="H1271" i="25" s="1"/>
  <c r="H266" i="1"/>
  <c r="V272" i="1"/>
  <c r="L32" i="22" s="1"/>
  <c r="T6" i="5"/>
  <c r="H52" i="5"/>
  <c r="E178" i="1"/>
  <c r="H124" i="3"/>
  <c r="H1330" i="25" s="1"/>
  <c r="I79" i="26" s="1"/>
  <c r="H236" i="25" s="1"/>
  <c r="H51" i="5"/>
  <c r="I124" i="3"/>
  <c r="H15" i="3"/>
  <c r="H1213" i="25" s="1"/>
  <c r="H14" i="3"/>
  <c r="H1212" i="25" s="1"/>
  <c r="H45" i="3"/>
  <c r="H1247" i="25" s="1"/>
  <c r="U6" i="5" l="1"/>
  <c r="G1521" i="25" s="1"/>
  <c r="H181" i="26" s="1"/>
  <c r="G348" i="25" s="1"/>
  <c r="E1521" i="25"/>
  <c r="F181" i="26" s="1"/>
  <c r="E348" i="25" s="1"/>
  <c r="F23" i="2"/>
  <c r="F1129" i="25" s="1"/>
  <c r="E1129" i="25"/>
  <c r="H174" i="15"/>
  <c r="H628" i="25" s="1"/>
  <c r="H618" i="25"/>
  <c r="U63" i="22"/>
  <c r="AD64" i="22" s="1"/>
  <c r="R64" i="22"/>
  <c r="X64" i="22"/>
  <c r="D64" i="22"/>
  <c r="M65" i="22" s="1"/>
  <c r="G65" i="22"/>
  <c r="E22" i="2"/>
  <c r="I14" i="12"/>
  <c r="C17" i="12"/>
  <c r="H17" i="12" s="1"/>
  <c r="V6" i="5"/>
  <c r="H1521" i="25" s="1"/>
  <c r="I181" i="26" s="1"/>
  <c r="H348" i="25" s="1"/>
  <c r="H125" i="3"/>
  <c r="Q6" i="5"/>
  <c r="H36" i="3"/>
  <c r="H1238" i="25" s="1"/>
  <c r="H90" i="3"/>
  <c r="H1293" i="25" s="1"/>
  <c r="H94" i="3"/>
  <c r="H1297" i="25" s="1"/>
  <c r="E24" i="2"/>
  <c r="E1130" i="25" s="1"/>
  <c r="U5" i="5"/>
  <c r="G1520" i="25" s="1"/>
  <c r="H180" i="26" s="1"/>
  <c r="G347" i="25" s="1"/>
  <c r="G23" i="2"/>
  <c r="G1129" i="25" s="1"/>
  <c r="Q5" i="5"/>
  <c r="R5" i="5" s="1"/>
  <c r="I32" i="2"/>
  <c r="H46" i="3"/>
  <c r="H1248" i="25" s="1"/>
  <c r="I125" i="3" l="1"/>
  <c r="H1331" i="25"/>
  <c r="I80" i="26" s="1"/>
  <c r="H237" i="25" s="1"/>
  <c r="F22" i="2"/>
  <c r="E1128" i="25"/>
  <c r="I31" i="2"/>
  <c r="Q56" i="2"/>
  <c r="Q40" i="2"/>
  <c r="Q48" i="2"/>
  <c r="Q37" i="2"/>
  <c r="Q41" i="2"/>
  <c r="H1138" i="25"/>
  <c r="Q55" i="2"/>
  <c r="Q39" i="2"/>
  <c r="Q53" i="2"/>
  <c r="Q46" i="2"/>
  <c r="Q45" i="2"/>
  <c r="Q50" i="2"/>
  <c r="Q44" i="2"/>
  <c r="Q51" i="2"/>
  <c r="Q38" i="2"/>
  <c r="Q43" i="2"/>
  <c r="Q47" i="2"/>
  <c r="Q54" i="2"/>
  <c r="Q52" i="2"/>
  <c r="Q49" i="2"/>
  <c r="Q42" i="2"/>
  <c r="D17" i="12"/>
  <c r="U64" i="22"/>
  <c r="AD65" i="22" s="1"/>
  <c r="X65" i="22"/>
  <c r="R6" i="5"/>
  <c r="H91" i="3"/>
  <c r="H1294" i="25" s="1"/>
  <c r="V5" i="5"/>
  <c r="H1520" i="25" s="1"/>
  <c r="I180" i="26" s="1"/>
  <c r="H347" i="25" s="1"/>
  <c r="H48" i="3"/>
  <c r="H1250" i="25" s="1"/>
  <c r="H23" i="2"/>
  <c r="H1129" i="25" s="1"/>
  <c r="H38" i="3"/>
  <c r="H1240" i="25" s="1"/>
  <c r="I33" i="2"/>
  <c r="F24" i="2"/>
  <c r="F1130" i="25" s="1"/>
  <c r="P49" i="2" l="1"/>
  <c r="P41" i="2"/>
  <c r="P46" i="2"/>
  <c r="P48" i="2"/>
  <c r="H1137" i="25"/>
  <c r="P39" i="2"/>
  <c r="P53" i="2"/>
  <c r="P52" i="2"/>
  <c r="P40" i="2"/>
  <c r="P44" i="2"/>
  <c r="P37" i="2"/>
  <c r="P38" i="2"/>
  <c r="P56" i="2"/>
  <c r="P42" i="2"/>
  <c r="P45" i="2"/>
  <c r="P50" i="2"/>
  <c r="P51" i="2"/>
  <c r="P55" i="2"/>
  <c r="P47" i="2"/>
  <c r="P54" i="2"/>
  <c r="P43" i="2"/>
  <c r="R47" i="2"/>
  <c r="R44" i="2"/>
  <c r="R55" i="2"/>
  <c r="H1139" i="25"/>
  <c r="R39" i="2"/>
  <c r="R46" i="2"/>
  <c r="R37" i="2"/>
  <c r="R52" i="2"/>
  <c r="R56" i="2"/>
  <c r="R50" i="2"/>
  <c r="R43" i="2"/>
  <c r="R49" i="2"/>
  <c r="R51" i="2"/>
  <c r="R53" i="2"/>
  <c r="R40" i="2"/>
  <c r="R41" i="2"/>
  <c r="R45" i="2"/>
  <c r="R54" i="2"/>
  <c r="R42" i="2"/>
  <c r="R38" i="2"/>
  <c r="R48" i="2"/>
  <c r="F1128" i="25"/>
  <c r="G22" i="2"/>
  <c r="S6" i="5"/>
  <c r="H97" i="3"/>
  <c r="H1300" i="25" s="1"/>
  <c r="S5" i="5"/>
  <c r="G24" i="2"/>
  <c r="G1130" i="25" s="1"/>
  <c r="H39" i="3"/>
  <c r="H1241" i="25" s="1"/>
  <c r="H49" i="3"/>
  <c r="H1251" i="25" s="1"/>
  <c r="G1128" i="25" l="1"/>
  <c r="H22" i="2"/>
  <c r="H1128" i="25" s="1"/>
  <c r="H24" i="2"/>
  <c r="H1130" i="25" s="1"/>
  <c r="H50" i="3"/>
  <c r="H1252" i="25" s="1"/>
  <c r="H51" i="3" l="1"/>
  <c r="H1253" i="25" s="1"/>
  <c r="H52" i="3" l="1"/>
  <c r="H1254" i="25" s="1"/>
  <c r="H72" i="3" l="1"/>
  <c r="H1274" i="25" s="1"/>
  <c r="H126" i="3"/>
  <c r="H1332" i="25" s="1"/>
  <c r="I81" i="26" s="1"/>
  <c r="H238" i="25" s="1"/>
  <c r="H20" i="12" l="1"/>
  <c r="H1589" i="25" s="1"/>
  <c r="I126" i="3"/>
  <c r="H95" i="3"/>
  <c r="H1298" i="25" s="1"/>
  <c r="H74" i="3"/>
  <c r="H1276" i="25" s="1"/>
  <c r="H75" i="3" l="1"/>
  <c r="H1278" i="25" s="1"/>
  <c r="H98" i="3"/>
  <c r="H1301" i="25" s="1"/>
  <c r="H32" i="12"/>
  <c r="H1601" i="25" s="1"/>
  <c r="H23" i="12"/>
  <c r="H1592" i="25" s="1"/>
  <c r="H26" i="12" l="1"/>
  <c r="H1595" i="25" s="1"/>
  <c r="I1595" i="25" s="1"/>
  <c r="H35" i="12"/>
  <c r="H1605" i="25" s="1"/>
  <c r="H99" i="3"/>
  <c r="H1302" i="25" s="1"/>
  <c r="H96" i="3"/>
  <c r="H1299" i="25" s="1"/>
  <c r="H106" i="3" l="1"/>
  <c r="H1310" i="25" s="1"/>
  <c r="H38" i="12"/>
  <c r="H1609" i="25" s="1"/>
  <c r="I1609" i="25" s="1"/>
  <c r="H100" i="3"/>
  <c r="H1304" i="25" s="1"/>
  <c r="I26" i="12"/>
  <c r="C29" i="12"/>
  <c r="C1598" i="25" s="1"/>
  <c r="H1598" i="25" l="1"/>
  <c r="D1598" i="25"/>
  <c r="I38" i="12"/>
  <c r="C41" i="12"/>
  <c r="C1612" i="25" s="1"/>
  <c r="H29" i="12"/>
  <c r="D29" i="12"/>
  <c r="H107" i="3"/>
  <c r="H1312" i="25" s="1"/>
  <c r="H1612" i="25" l="1"/>
  <c r="D1612" i="25"/>
  <c r="H41" i="12"/>
  <c r="D41" i="12"/>
  <c r="H110" i="3"/>
  <c r="H1315" i="25" s="1"/>
  <c r="H111" i="3" l="1"/>
  <c r="H1316" i="25" s="1"/>
  <c r="H118" i="3" l="1"/>
  <c r="H1323" i="25" s="1"/>
  <c r="H112" i="3"/>
  <c r="H1317" i="25" s="1"/>
  <c r="H127" i="3"/>
  <c r="I12" i="24" l="1"/>
  <c r="H1799" i="25" s="1"/>
  <c r="H1333" i="25"/>
  <c r="I82" i="26" s="1"/>
  <c r="H239" i="25" s="1"/>
  <c r="F55" i="24"/>
  <c r="F1846" i="25" s="1"/>
  <c r="F50" i="24"/>
  <c r="F1841" i="25" s="1"/>
  <c r="F60" i="24"/>
  <c r="F1851" i="25" s="1"/>
  <c r="F54" i="24"/>
  <c r="F1845" i="25" s="1"/>
  <c r="F59" i="24"/>
  <c r="F1850" i="25" s="1"/>
  <c r="F41" i="24"/>
  <c r="F1832" i="25" s="1"/>
  <c r="F53" i="24"/>
  <c r="F43" i="24"/>
  <c r="F47" i="24"/>
  <c r="F49" i="24"/>
  <c r="F45" i="24"/>
  <c r="F58" i="24"/>
  <c r="F1849" i="25" s="1"/>
  <c r="F51" i="24"/>
  <c r="F44" i="24"/>
  <c r="F1835" i="25" s="1"/>
  <c r="F56" i="24"/>
  <c r="F1847" i="25" s="1"/>
  <c r="F57" i="24"/>
  <c r="F1848" i="25" s="1"/>
  <c r="F42" i="24"/>
  <c r="F1833" i="25" s="1"/>
  <c r="F48" i="24"/>
  <c r="F1839" i="25" s="1"/>
  <c r="F46" i="24"/>
  <c r="F1837" i="25" s="1"/>
  <c r="F52" i="24"/>
  <c r="F1843" i="25" s="1"/>
  <c r="D121" i="3"/>
  <c r="I127" i="3"/>
  <c r="H64" i="5"/>
  <c r="H1419" i="25" s="1"/>
  <c r="H32" i="15"/>
  <c r="H472" i="25" s="1"/>
  <c r="H16" i="13"/>
  <c r="H1705" i="25" s="1"/>
  <c r="H44" i="12"/>
  <c r="D115" i="3"/>
  <c r="G97" i="24" l="1"/>
  <c r="C1919" i="25" s="1"/>
  <c r="F1840" i="25"/>
  <c r="H50" i="12"/>
  <c r="H1615" i="25"/>
  <c r="G93" i="24"/>
  <c r="C1915" i="25" s="1"/>
  <c r="F1836" i="25"/>
  <c r="H115" i="3"/>
  <c r="D1320" i="25"/>
  <c r="G91" i="24"/>
  <c r="C1913" i="25" s="1"/>
  <c r="F1834" i="25"/>
  <c r="H121" i="3"/>
  <c r="D1326" i="25"/>
  <c r="G99" i="24"/>
  <c r="C1921" i="25" s="1"/>
  <c r="F1842" i="25"/>
  <c r="G95" i="24"/>
  <c r="C1917" i="25" s="1"/>
  <c r="F1838" i="25"/>
  <c r="G101" i="24"/>
  <c r="C1923" i="25" s="1"/>
  <c r="F1844" i="25"/>
  <c r="G104" i="24"/>
  <c r="C1926" i="25" s="1"/>
  <c r="G102" i="24"/>
  <c r="C1924" i="25" s="1"/>
  <c r="G105" i="24"/>
  <c r="C1927" i="25" s="1"/>
  <c r="G106" i="24"/>
  <c r="C1928" i="25" s="1"/>
  <c r="G108" i="24"/>
  <c r="C1930" i="25" s="1"/>
  <c r="G92" i="24"/>
  <c r="C1914" i="25" s="1"/>
  <c r="G89" i="24"/>
  <c r="C1911" i="25" s="1"/>
  <c r="G107" i="24"/>
  <c r="C1929" i="25" s="1"/>
  <c r="G96" i="24"/>
  <c r="C1918" i="25" s="1"/>
  <c r="G98" i="24"/>
  <c r="C1920" i="25" s="1"/>
  <c r="G100" i="24"/>
  <c r="C1922" i="25" s="1"/>
  <c r="G94" i="24"/>
  <c r="C1916" i="25" s="1"/>
  <c r="G90" i="24"/>
  <c r="C1912" i="25" s="1"/>
  <c r="G103" i="24"/>
  <c r="C1925" i="25" s="1"/>
  <c r="B84" i="22"/>
  <c r="I85" i="22" s="1"/>
  <c r="A83" i="22"/>
  <c r="B83" i="22"/>
  <c r="I84" i="22" s="1"/>
  <c r="H17" i="13"/>
  <c r="H1706" i="25" s="1"/>
  <c r="E115" i="3"/>
  <c r="H72" i="5"/>
  <c r="H1427" i="25" s="1"/>
  <c r="H105" i="5"/>
  <c r="H85" i="5"/>
  <c r="H1440" i="25" s="1"/>
  <c r="H73" i="5"/>
  <c r="H1428" i="25" s="1"/>
  <c r="E121" i="3"/>
  <c r="H62" i="12"/>
  <c r="H1635" i="25" s="1"/>
  <c r="H36" i="15"/>
  <c r="H476" i="25" s="1"/>
  <c r="E86" i="26" l="1"/>
  <c r="E1320" i="25"/>
  <c r="H1320" i="25"/>
  <c r="E90" i="26"/>
  <c r="H1326" i="25"/>
  <c r="E1326" i="25"/>
  <c r="H53" i="12"/>
  <c r="H1626" i="25" s="1"/>
  <c r="I1626" i="25" s="1"/>
  <c r="H1622" i="25"/>
  <c r="H127" i="5"/>
  <c r="H1487" i="25" s="1"/>
  <c r="H1460" i="25"/>
  <c r="B104" i="22"/>
  <c r="B103" i="22"/>
  <c r="A103" i="22"/>
  <c r="D83" i="22"/>
  <c r="M84" i="22" s="1"/>
  <c r="G84" i="22"/>
  <c r="A84" i="22"/>
  <c r="R83" i="22"/>
  <c r="S84" i="22"/>
  <c r="Z85" i="22" s="1"/>
  <c r="S83" i="22"/>
  <c r="Z84" i="22" s="1"/>
  <c r="T11" i="5"/>
  <c r="E1529" i="25" s="1"/>
  <c r="F189" i="26" s="1"/>
  <c r="E356" i="25" s="1"/>
  <c r="H92" i="5"/>
  <c r="H1447" i="25" s="1"/>
  <c r="H93" i="5"/>
  <c r="H1448" i="25" s="1"/>
  <c r="P168" i="15"/>
  <c r="P194" i="15" s="1"/>
  <c r="E691" i="25" s="1"/>
  <c r="H37" i="15"/>
  <c r="H477" i="25" s="1"/>
  <c r="H115" i="5"/>
  <c r="H114" i="5"/>
  <c r="T10" i="5"/>
  <c r="E1528" i="25" s="1"/>
  <c r="F188" i="26" s="1"/>
  <c r="E355" i="25" s="1"/>
  <c r="H53" i="13"/>
  <c r="H1746" i="25" s="1"/>
  <c r="H54" i="13"/>
  <c r="H1747" i="25" s="1"/>
  <c r="H145" i="5" l="1"/>
  <c r="H1470" i="25"/>
  <c r="D247" i="25"/>
  <c r="F90" i="26"/>
  <c r="I90" i="26"/>
  <c r="H142" i="5"/>
  <c r="H1469" i="25"/>
  <c r="D243" i="25"/>
  <c r="F86" i="26"/>
  <c r="I86" i="26"/>
  <c r="P204" i="15"/>
  <c r="E701" i="25" s="1"/>
  <c r="P205" i="15"/>
  <c r="E702" i="25" s="1"/>
  <c r="P206" i="15"/>
  <c r="E703" i="25" s="1"/>
  <c r="P207" i="15"/>
  <c r="E704" i="25" s="1"/>
  <c r="P208" i="15"/>
  <c r="E705" i="25" s="1"/>
  <c r="P209" i="15"/>
  <c r="E706" i="25" s="1"/>
  <c r="P210" i="15"/>
  <c r="E707" i="25" s="1"/>
  <c r="P211" i="15"/>
  <c r="E708" i="25" s="1"/>
  <c r="P195" i="15"/>
  <c r="E692" i="25" s="1"/>
  <c r="P203" i="15"/>
  <c r="E700" i="25" s="1"/>
  <c r="P212" i="15"/>
  <c r="E709" i="25" s="1"/>
  <c r="P196" i="15"/>
  <c r="E693" i="25" s="1"/>
  <c r="P202" i="15"/>
  <c r="E699" i="25" s="1"/>
  <c r="P213" i="15"/>
  <c r="E710" i="25" s="1"/>
  <c r="P197" i="15"/>
  <c r="E694" i="25" s="1"/>
  <c r="P214" i="15"/>
  <c r="E711" i="25" s="1"/>
  <c r="P198" i="15"/>
  <c r="E695" i="25" s="1"/>
  <c r="P215" i="15"/>
  <c r="E712" i="25" s="1"/>
  <c r="P199" i="15"/>
  <c r="E696" i="25" s="1"/>
  <c r="P200" i="15"/>
  <c r="E697" i="25" s="1"/>
  <c r="P201" i="15"/>
  <c r="E698" i="25" s="1"/>
  <c r="E639" i="25"/>
  <c r="I104" i="22"/>
  <c r="I105" i="22"/>
  <c r="D84" i="22"/>
  <c r="M85" i="22" s="1"/>
  <c r="G85" i="22"/>
  <c r="D103" i="22"/>
  <c r="A104" i="22"/>
  <c r="G104" i="22"/>
  <c r="R84" i="22"/>
  <c r="U83" i="22"/>
  <c r="AD84" i="22" s="1"/>
  <c r="X84" i="22"/>
  <c r="T16" i="5"/>
  <c r="E1537" i="25" s="1"/>
  <c r="F197" i="26" s="1"/>
  <c r="E364" i="25" s="1"/>
  <c r="I53" i="12"/>
  <c r="C56" i="12"/>
  <c r="C1629" i="25" s="1"/>
  <c r="Q10" i="5"/>
  <c r="E1525" i="25" s="1"/>
  <c r="F185" i="26" s="1"/>
  <c r="E352" i="25" s="1"/>
  <c r="T15" i="5"/>
  <c r="E1536" i="25" s="1"/>
  <c r="F196" i="26" s="1"/>
  <c r="E363" i="25" s="1"/>
  <c r="Q11" i="5"/>
  <c r="E1526" i="25" s="1"/>
  <c r="F186" i="26" s="1"/>
  <c r="E353" i="25" s="1"/>
  <c r="H56" i="13"/>
  <c r="H168" i="15"/>
  <c r="H622" i="25" s="1"/>
  <c r="P185" i="15"/>
  <c r="P184" i="15"/>
  <c r="P174" i="15"/>
  <c r="P181" i="15"/>
  <c r="P178" i="15"/>
  <c r="P176" i="15"/>
  <c r="P173" i="15"/>
  <c r="P172" i="15"/>
  <c r="P188" i="15"/>
  <c r="P170" i="15"/>
  <c r="P175" i="15"/>
  <c r="P183" i="15"/>
  <c r="P171" i="15"/>
  <c r="P187" i="15"/>
  <c r="P186" i="15"/>
  <c r="P182" i="15"/>
  <c r="P189" i="15"/>
  <c r="P180" i="15"/>
  <c r="P179" i="15"/>
  <c r="P169" i="15"/>
  <c r="P177" i="15"/>
  <c r="U10" i="5"/>
  <c r="G1528" i="25" s="1"/>
  <c r="H188" i="26" s="1"/>
  <c r="G355" i="25" s="1"/>
  <c r="U11" i="5"/>
  <c r="G1529" i="25" s="1"/>
  <c r="H189" i="26" s="1"/>
  <c r="G356" i="25" s="1"/>
  <c r="H243" i="25" l="1"/>
  <c r="E243" i="25"/>
  <c r="H1629" i="25"/>
  <c r="D1629" i="25"/>
  <c r="T22" i="5"/>
  <c r="H1502" i="25"/>
  <c r="H247" i="25"/>
  <c r="E247" i="25"/>
  <c r="H62" i="13"/>
  <c r="H1755" i="25" s="1"/>
  <c r="H1749" i="25"/>
  <c r="T23" i="5"/>
  <c r="E1561" i="25" s="1"/>
  <c r="F209" i="26" s="1"/>
  <c r="E377" i="25" s="1"/>
  <c r="H1505" i="25"/>
  <c r="U196" i="15"/>
  <c r="C717" i="25" s="1"/>
  <c r="Z196" i="15"/>
  <c r="H717" i="25" s="1"/>
  <c r="X196" i="15"/>
  <c r="F717" i="25" s="1"/>
  <c r="W196" i="15"/>
  <c r="E717" i="25" s="1"/>
  <c r="V196" i="15"/>
  <c r="W213" i="15"/>
  <c r="E734" i="25" s="1"/>
  <c r="X213" i="15"/>
  <c r="F734" i="25" s="1"/>
  <c r="V213" i="15"/>
  <c r="D734" i="25" s="1"/>
  <c r="Z213" i="15"/>
  <c r="H734" i="25" s="1"/>
  <c r="U213" i="15"/>
  <c r="C734" i="25" s="1"/>
  <c r="X203" i="15"/>
  <c r="F724" i="25" s="1"/>
  <c r="W203" i="15"/>
  <c r="E724" i="25" s="1"/>
  <c r="V203" i="15"/>
  <c r="D724" i="25" s="1"/>
  <c r="U203" i="15"/>
  <c r="C724" i="25" s="1"/>
  <c r="Z203" i="15"/>
  <c r="H724" i="25" s="1"/>
  <c r="Z210" i="15"/>
  <c r="H731" i="25" s="1"/>
  <c r="X210" i="15"/>
  <c r="F731" i="25" s="1"/>
  <c r="W210" i="15"/>
  <c r="E731" i="25" s="1"/>
  <c r="V210" i="15"/>
  <c r="D731" i="25" s="1"/>
  <c r="U210" i="15"/>
  <c r="C731" i="25" s="1"/>
  <c r="X214" i="15"/>
  <c r="F735" i="25" s="1"/>
  <c r="V214" i="15"/>
  <c r="D735" i="25" s="1"/>
  <c r="Z214" i="15"/>
  <c r="H735" i="25" s="1"/>
  <c r="U214" i="15"/>
  <c r="C735" i="25" s="1"/>
  <c r="W214" i="15"/>
  <c r="E735" i="25" s="1"/>
  <c r="W195" i="15"/>
  <c r="E716" i="25" s="1"/>
  <c r="V195" i="15"/>
  <c r="D716" i="25" s="1"/>
  <c r="X195" i="15"/>
  <c r="F716" i="25" s="1"/>
  <c r="U195" i="15"/>
  <c r="C716" i="25" s="1"/>
  <c r="Z195" i="15"/>
  <c r="H716" i="25" s="1"/>
  <c r="U209" i="15"/>
  <c r="C730" i="25" s="1"/>
  <c r="W209" i="15"/>
  <c r="E730" i="25" s="1"/>
  <c r="V209" i="15"/>
  <c r="D730" i="25" s="1"/>
  <c r="Z209" i="15"/>
  <c r="H730" i="25" s="1"/>
  <c r="X209" i="15"/>
  <c r="F730" i="25" s="1"/>
  <c r="V212" i="15"/>
  <c r="D733" i="25" s="1"/>
  <c r="Z212" i="15"/>
  <c r="H733" i="25" s="1"/>
  <c r="U212" i="15"/>
  <c r="C733" i="25" s="1"/>
  <c r="X212" i="15"/>
  <c r="F733" i="25" s="1"/>
  <c r="W212" i="15"/>
  <c r="E733" i="25" s="1"/>
  <c r="X211" i="15"/>
  <c r="F732" i="25" s="1"/>
  <c r="Z211" i="15"/>
  <c r="H732" i="25" s="1"/>
  <c r="W211" i="15"/>
  <c r="E732" i="25" s="1"/>
  <c r="V211" i="15"/>
  <c r="D732" i="25" s="1"/>
  <c r="U211" i="15"/>
  <c r="C732" i="25" s="1"/>
  <c r="W201" i="15"/>
  <c r="E722" i="25" s="1"/>
  <c r="V201" i="15"/>
  <c r="X201" i="15"/>
  <c r="F722" i="25" s="1"/>
  <c r="U201" i="15"/>
  <c r="C722" i="25" s="1"/>
  <c r="Z201" i="15"/>
  <c r="H722" i="25" s="1"/>
  <c r="U208" i="15"/>
  <c r="C729" i="25" s="1"/>
  <c r="X208" i="15"/>
  <c r="F729" i="25" s="1"/>
  <c r="W208" i="15"/>
  <c r="E729" i="25" s="1"/>
  <c r="V208" i="15"/>
  <c r="Z208" i="15"/>
  <c r="H729" i="25" s="1"/>
  <c r="W200" i="15"/>
  <c r="E721" i="25" s="1"/>
  <c r="V200" i="15"/>
  <c r="D721" i="25" s="1"/>
  <c r="U200" i="15"/>
  <c r="C721" i="25" s="1"/>
  <c r="X200" i="15"/>
  <c r="F721" i="25" s="1"/>
  <c r="Z200" i="15"/>
  <c r="H721" i="25" s="1"/>
  <c r="V207" i="15"/>
  <c r="D728" i="25" s="1"/>
  <c r="Z207" i="15"/>
  <c r="H728" i="25" s="1"/>
  <c r="X207" i="15"/>
  <c r="F728" i="25" s="1"/>
  <c r="W207" i="15"/>
  <c r="E728" i="25" s="1"/>
  <c r="U207" i="15"/>
  <c r="C728" i="25" s="1"/>
  <c r="X199" i="15"/>
  <c r="F720" i="25" s="1"/>
  <c r="W199" i="15"/>
  <c r="E720" i="25" s="1"/>
  <c r="V199" i="15"/>
  <c r="D720" i="25" s="1"/>
  <c r="U199" i="15"/>
  <c r="C720" i="25" s="1"/>
  <c r="Z199" i="15"/>
  <c r="H720" i="25" s="1"/>
  <c r="V206" i="15"/>
  <c r="D727" i="25" s="1"/>
  <c r="X206" i="15"/>
  <c r="F727" i="25" s="1"/>
  <c r="W206" i="15"/>
  <c r="E727" i="25" s="1"/>
  <c r="U206" i="15"/>
  <c r="C727" i="25" s="1"/>
  <c r="Z206" i="15"/>
  <c r="H727" i="25" s="1"/>
  <c r="X202" i="15"/>
  <c r="F723" i="25" s="1"/>
  <c r="W202" i="15"/>
  <c r="E723" i="25" s="1"/>
  <c r="Z202" i="15"/>
  <c r="H723" i="25" s="1"/>
  <c r="V202" i="15"/>
  <c r="U202" i="15"/>
  <c r="C723" i="25" s="1"/>
  <c r="W215" i="15"/>
  <c r="E736" i="25" s="1"/>
  <c r="V215" i="15"/>
  <c r="D736" i="25" s="1"/>
  <c r="U215" i="15"/>
  <c r="C736" i="25" s="1"/>
  <c r="Z215" i="15"/>
  <c r="H736" i="25" s="1"/>
  <c r="X215" i="15"/>
  <c r="F736" i="25" s="1"/>
  <c r="X205" i="15"/>
  <c r="F726" i="25" s="1"/>
  <c r="Z205" i="15"/>
  <c r="H726" i="25" s="1"/>
  <c r="U205" i="15"/>
  <c r="C726" i="25" s="1"/>
  <c r="W205" i="15"/>
  <c r="E726" i="25" s="1"/>
  <c r="V205" i="15"/>
  <c r="X197" i="15"/>
  <c r="F718" i="25" s="1"/>
  <c r="Z197" i="15"/>
  <c r="H718" i="25" s="1"/>
  <c r="W197" i="15"/>
  <c r="E718" i="25" s="1"/>
  <c r="V197" i="15"/>
  <c r="U197" i="15"/>
  <c r="C718" i="25" s="1"/>
  <c r="Z198" i="15"/>
  <c r="H719" i="25" s="1"/>
  <c r="V198" i="15"/>
  <c r="D719" i="25" s="1"/>
  <c r="X198" i="15"/>
  <c r="F719" i="25" s="1"/>
  <c r="W198" i="15"/>
  <c r="E719" i="25" s="1"/>
  <c r="U198" i="15"/>
  <c r="C719" i="25" s="1"/>
  <c r="Z204" i="15"/>
  <c r="H725" i="25" s="1"/>
  <c r="W204" i="15"/>
  <c r="E725" i="25" s="1"/>
  <c r="X204" i="15"/>
  <c r="F725" i="25" s="1"/>
  <c r="V204" i="15"/>
  <c r="U204" i="15"/>
  <c r="C725" i="25" s="1"/>
  <c r="Z181" i="15"/>
  <c r="H677" i="25" s="1"/>
  <c r="E652" i="25"/>
  <c r="Z170" i="15"/>
  <c r="H666" i="25" s="1"/>
  <c r="E641" i="25"/>
  <c r="Z173" i="15"/>
  <c r="H669" i="25" s="1"/>
  <c r="E644" i="25"/>
  <c r="Z184" i="15"/>
  <c r="H680" i="25" s="1"/>
  <c r="E655" i="25"/>
  <c r="Z188" i="15"/>
  <c r="H684" i="25" s="1"/>
  <c r="E659" i="25"/>
  <c r="Z176" i="15"/>
  <c r="H672" i="25" s="1"/>
  <c r="E647" i="25"/>
  <c r="Z179" i="15"/>
  <c r="H675" i="25" s="1"/>
  <c r="E650" i="25"/>
  <c r="Z182" i="15"/>
  <c r="H678" i="25" s="1"/>
  <c r="E653" i="25"/>
  <c r="Z169" i="15"/>
  <c r="H665" i="25" s="1"/>
  <c r="E640" i="25"/>
  <c r="Z180" i="15"/>
  <c r="H676" i="25" s="1"/>
  <c r="E651" i="25"/>
  <c r="Z185" i="15"/>
  <c r="H681" i="25" s="1"/>
  <c r="E656" i="25"/>
  <c r="Z187" i="15"/>
  <c r="H683" i="25" s="1"/>
  <c r="E658" i="25"/>
  <c r="Z175" i="15"/>
  <c r="H671" i="25" s="1"/>
  <c r="E646" i="25"/>
  <c r="Z172" i="15"/>
  <c r="H668" i="25" s="1"/>
  <c r="E643" i="25"/>
  <c r="Z178" i="15"/>
  <c r="H674" i="25" s="1"/>
  <c r="E649" i="25"/>
  <c r="Z171" i="15"/>
  <c r="H667" i="25" s="1"/>
  <c r="E642" i="25"/>
  <c r="Z177" i="15"/>
  <c r="H673" i="25" s="1"/>
  <c r="E648" i="25"/>
  <c r="Z174" i="15"/>
  <c r="H670" i="25" s="1"/>
  <c r="E645" i="25"/>
  <c r="Z189" i="15"/>
  <c r="H685" i="25" s="1"/>
  <c r="E660" i="25"/>
  <c r="Z186" i="15"/>
  <c r="H682" i="25" s="1"/>
  <c r="E657" i="25"/>
  <c r="Z183" i="15"/>
  <c r="H679" i="25" s="1"/>
  <c r="E654" i="25"/>
  <c r="H66" i="13"/>
  <c r="H1760" i="25" s="1"/>
  <c r="I13" i="24"/>
  <c r="H1800" i="25" s="1"/>
  <c r="M104" i="22"/>
  <c r="A123" i="22"/>
  <c r="E125" i="22" s="1"/>
  <c r="U84" i="22"/>
  <c r="AD85" i="22" s="1"/>
  <c r="X85" i="22"/>
  <c r="D104" i="22"/>
  <c r="G105" i="22"/>
  <c r="V11" i="5"/>
  <c r="H1529" i="25" s="1"/>
  <c r="I189" i="26" s="1"/>
  <c r="H356" i="25" s="1"/>
  <c r="V10" i="5"/>
  <c r="H1528" i="25" s="1"/>
  <c r="I188" i="26" s="1"/>
  <c r="H355" i="25" s="1"/>
  <c r="U188" i="15"/>
  <c r="C684" i="25" s="1"/>
  <c r="W188" i="15"/>
  <c r="E684" i="25" s="1"/>
  <c r="V188" i="15"/>
  <c r="D684" i="25" s="1"/>
  <c r="X188" i="15"/>
  <c r="F684" i="25" s="1"/>
  <c r="V175" i="15"/>
  <c r="D671" i="25" s="1"/>
  <c r="W175" i="15"/>
  <c r="E671" i="25" s="1"/>
  <c r="X175" i="15"/>
  <c r="F671" i="25" s="1"/>
  <c r="U175" i="15"/>
  <c r="C671" i="25" s="1"/>
  <c r="Q16" i="5"/>
  <c r="E1534" i="25" s="1"/>
  <c r="F194" i="26" s="1"/>
  <c r="E361" i="25" s="1"/>
  <c r="R11" i="5"/>
  <c r="G1526" i="25" s="1"/>
  <c r="H186" i="26" s="1"/>
  <c r="G353" i="25" s="1"/>
  <c r="U15" i="5"/>
  <c r="G1536" i="25" s="1"/>
  <c r="H196" i="26" s="1"/>
  <c r="G363" i="25" s="1"/>
  <c r="W178" i="15"/>
  <c r="E674" i="25" s="1"/>
  <c r="X178" i="15"/>
  <c r="F674" i="25" s="1"/>
  <c r="V178" i="15"/>
  <c r="D674" i="25" s="1"/>
  <c r="U178" i="15"/>
  <c r="C674" i="25" s="1"/>
  <c r="X179" i="15"/>
  <c r="F675" i="25" s="1"/>
  <c r="V179" i="15"/>
  <c r="D675" i="25" s="1"/>
  <c r="W179" i="15"/>
  <c r="E675" i="25" s="1"/>
  <c r="U179" i="15"/>
  <c r="C675" i="25" s="1"/>
  <c r="U176" i="15"/>
  <c r="C672" i="25" s="1"/>
  <c r="W176" i="15"/>
  <c r="E672" i="25" s="1"/>
  <c r="X176" i="15"/>
  <c r="F672" i="25" s="1"/>
  <c r="V176" i="15"/>
  <c r="D672" i="25" s="1"/>
  <c r="Q15" i="5"/>
  <c r="E1533" i="25" s="1"/>
  <c r="F193" i="26" s="1"/>
  <c r="E360" i="25" s="1"/>
  <c r="R10" i="5"/>
  <c r="G1525" i="25" s="1"/>
  <c r="H185" i="26" s="1"/>
  <c r="G352" i="25" s="1"/>
  <c r="U169" i="15"/>
  <c r="C665" i="25" s="1"/>
  <c r="X169" i="15"/>
  <c r="F665" i="25" s="1"/>
  <c r="V169" i="15"/>
  <c r="D665" i="25" s="1"/>
  <c r="W169" i="15"/>
  <c r="E665" i="25" s="1"/>
  <c r="U184" i="15"/>
  <c r="C680" i="25" s="1"/>
  <c r="V184" i="15"/>
  <c r="D680" i="25" s="1"/>
  <c r="W184" i="15"/>
  <c r="E680" i="25" s="1"/>
  <c r="X184" i="15"/>
  <c r="F680" i="25" s="1"/>
  <c r="V174" i="15"/>
  <c r="D670" i="25" s="1"/>
  <c r="X174" i="15"/>
  <c r="F670" i="25" s="1"/>
  <c r="W174" i="15"/>
  <c r="E670" i="25" s="1"/>
  <c r="U174" i="15"/>
  <c r="C670" i="25" s="1"/>
  <c r="W182" i="15"/>
  <c r="E678" i="25" s="1"/>
  <c r="U182" i="15"/>
  <c r="C678" i="25" s="1"/>
  <c r="X182" i="15"/>
  <c r="F678" i="25" s="1"/>
  <c r="V182" i="15"/>
  <c r="D678" i="25" s="1"/>
  <c r="X186" i="15"/>
  <c r="F682" i="25" s="1"/>
  <c r="V186" i="15"/>
  <c r="D682" i="25" s="1"/>
  <c r="U186" i="15"/>
  <c r="C682" i="25" s="1"/>
  <c r="W186" i="15"/>
  <c r="E682" i="25" s="1"/>
  <c r="W187" i="15"/>
  <c r="E683" i="25" s="1"/>
  <c r="X187" i="15"/>
  <c r="F683" i="25" s="1"/>
  <c r="V187" i="15"/>
  <c r="D683" i="25" s="1"/>
  <c r="U187" i="15"/>
  <c r="C683" i="25" s="1"/>
  <c r="H177" i="15"/>
  <c r="H178" i="15"/>
  <c r="H633" i="25" s="1"/>
  <c r="H76" i="12"/>
  <c r="H1650" i="25" s="1"/>
  <c r="U170" i="15"/>
  <c r="C666" i="25" s="1"/>
  <c r="W170" i="15"/>
  <c r="E666" i="25" s="1"/>
  <c r="X170" i="15"/>
  <c r="F666" i="25" s="1"/>
  <c r="V170" i="15"/>
  <c r="D666" i="25" s="1"/>
  <c r="H56" i="12"/>
  <c r="D56" i="12"/>
  <c r="U180" i="15"/>
  <c r="C676" i="25" s="1"/>
  <c r="W180" i="15"/>
  <c r="E676" i="25" s="1"/>
  <c r="V180" i="15"/>
  <c r="D676" i="25" s="1"/>
  <c r="X180" i="15"/>
  <c r="F676" i="25" s="1"/>
  <c r="H61" i="13"/>
  <c r="H1754" i="25" s="1"/>
  <c r="V172" i="15"/>
  <c r="D668" i="25" s="1"/>
  <c r="W172" i="15"/>
  <c r="E668" i="25" s="1"/>
  <c r="X172" i="15"/>
  <c r="F668" i="25" s="1"/>
  <c r="U172" i="15"/>
  <c r="C668" i="25" s="1"/>
  <c r="X173" i="15"/>
  <c r="F669" i="25" s="1"/>
  <c r="W173" i="15"/>
  <c r="E669" i="25" s="1"/>
  <c r="U173" i="15"/>
  <c r="C669" i="25" s="1"/>
  <c r="V173" i="15"/>
  <c r="D669" i="25" s="1"/>
  <c r="X177" i="15"/>
  <c r="F673" i="25" s="1"/>
  <c r="U177" i="15"/>
  <c r="C673" i="25" s="1"/>
  <c r="W177" i="15"/>
  <c r="E673" i="25" s="1"/>
  <c r="V177" i="15"/>
  <c r="D673" i="25" s="1"/>
  <c r="X181" i="15"/>
  <c r="F677" i="25" s="1"/>
  <c r="W181" i="15"/>
  <c r="E677" i="25" s="1"/>
  <c r="V181" i="15"/>
  <c r="D677" i="25" s="1"/>
  <c r="U181" i="15"/>
  <c r="C677" i="25" s="1"/>
  <c r="V189" i="15"/>
  <c r="D685" i="25" s="1"/>
  <c r="U189" i="15"/>
  <c r="C685" i="25" s="1"/>
  <c r="X189" i="15"/>
  <c r="F685" i="25" s="1"/>
  <c r="W189" i="15"/>
  <c r="E685" i="25" s="1"/>
  <c r="V185" i="15"/>
  <c r="D681" i="25" s="1"/>
  <c r="U185" i="15"/>
  <c r="C681" i="25" s="1"/>
  <c r="X185" i="15"/>
  <c r="F681" i="25" s="1"/>
  <c r="W185" i="15"/>
  <c r="E681" i="25" s="1"/>
  <c r="X171" i="15"/>
  <c r="F667" i="25" s="1"/>
  <c r="V171" i="15"/>
  <c r="D667" i="25" s="1"/>
  <c r="U171" i="15"/>
  <c r="C667" i="25" s="1"/>
  <c r="W171" i="15"/>
  <c r="E667" i="25" s="1"/>
  <c r="X183" i="15"/>
  <c r="F679" i="25" s="1"/>
  <c r="V183" i="15"/>
  <c r="D679" i="25" s="1"/>
  <c r="W183" i="15"/>
  <c r="E679" i="25" s="1"/>
  <c r="U183" i="15"/>
  <c r="C679" i="25" s="1"/>
  <c r="U16" i="5"/>
  <c r="G1537" i="25" s="1"/>
  <c r="H197" i="26" s="1"/>
  <c r="G364" i="25" s="1"/>
  <c r="E1560" i="25" l="1"/>
  <c r="F208" i="26" s="1"/>
  <c r="E376" i="25" s="1"/>
  <c r="U22" i="5"/>
  <c r="AA197" i="15"/>
  <c r="I718" i="25" s="1"/>
  <c r="D718" i="25"/>
  <c r="AA205" i="15"/>
  <c r="I726" i="25" s="1"/>
  <c r="D726" i="25"/>
  <c r="AA204" i="15"/>
  <c r="I725" i="25" s="1"/>
  <c r="D725" i="25"/>
  <c r="AA201" i="15"/>
  <c r="I722" i="25" s="1"/>
  <c r="D722" i="25"/>
  <c r="AA208" i="15"/>
  <c r="I729" i="25" s="1"/>
  <c r="D729" i="25"/>
  <c r="AA196" i="15"/>
  <c r="I717" i="25" s="1"/>
  <c r="D717" i="25"/>
  <c r="AA202" i="15"/>
  <c r="I723" i="25" s="1"/>
  <c r="D723" i="25"/>
  <c r="AA203" i="15"/>
  <c r="I724" i="25" s="1"/>
  <c r="AA211" i="15"/>
  <c r="I732" i="25" s="1"/>
  <c r="AA195" i="15"/>
  <c r="I716" i="25" s="1"/>
  <c r="AA207" i="15"/>
  <c r="I728" i="25" s="1"/>
  <c r="AA200" i="15"/>
  <c r="I721" i="25" s="1"/>
  <c r="AA213" i="15"/>
  <c r="I734" i="25" s="1"/>
  <c r="AA206" i="15"/>
  <c r="I727" i="25" s="1"/>
  <c r="AA214" i="15"/>
  <c r="I735" i="25" s="1"/>
  <c r="H101" i="12"/>
  <c r="H1678" i="25" s="1"/>
  <c r="I222" i="26" s="1"/>
  <c r="H390" i="25" s="1"/>
  <c r="H631" i="25"/>
  <c r="AA199" i="15"/>
  <c r="I720" i="25" s="1"/>
  <c r="AA212" i="15"/>
  <c r="I733" i="25" s="1"/>
  <c r="AA210" i="15"/>
  <c r="I731" i="25" s="1"/>
  <c r="AA215" i="15"/>
  <c r="I736" i="25" s="1"/>
  <c r="AA198" i="15"/>
  <c r="I719" i="25" s="1"/>
  <c r="AA209" i="15"/>
  <c r="I730" i="25" s="1"/>
  <c r="H68" i="13"/>
  <c r="H1762" i="25" s="1"/>
  <c r="H67" i="13"/>
  <c r="M105" i="22"/>
  <c r="A124" i="22"/>
  <c r="E126" i="22" s="1"/>
  <c r="AA177" i="15"/>
  <c r="S11" i="5"/>
  <c r="H1526" i="25" s="1"/>
  <c r="I186" i="26" s="1"/>
  <c r="H353" i="25" s="1"/>
  <c r="AA187" i="15"/>
  <c r="AA186" i="15"/>
  <c r="AA182" i="15"/>
  <c r="S10" i="5"/>
  <c r="H1525" i="25" s="1"/>
  <c r="I185" i="26" s="1"/>
  <c r="H352" i="25" s="1"/>
  <c r="AA178" i="15"/>
  <c r="AA173" i="15"/>
  <c r="AA181" i="15"/>
  <c r="AA184" i="15"/>
  <c r="H77" i="12"/>
  <c r="H1651" i="25" s="1"/>
  <c r="I1651" i="25" s="1"/>
  <c r="R16" i="5"/>
  <c r="G1534" i="25" s="1"/>
  <c r="H194" i="26" s="1"/>
  <c r="G361" i="25" s="1"/>
  <c r="AA183" i="15"/>
  <c r="AA189" i="15"/>
  <c r="I685" i="25" s="1"/>
  <c r="AA169" i="15"/>
  <c r="AA179" i="15"/>
  <c r="AA171" i="15"/>
  <c r="AA180" i="15"/>
  <c r="AA175" i="15"/>
  <c r="AA174" i="15"/>
  <c r="R15" i="5"/>
  <c r="G1533" i="25" s="1"/>
  <c r="H193" i="26" s="1"/>
  <c r="G360" i="25" s="1"/>
  <c r="AA188" i="15"/>
  <c r="AA172" i="15"/>
  <c r="U23" i="5"/>
  <c r="G1561" i="25" s="1"/>
  <c r="H209" i="26" s="1"/>
  <c r="G377" i="25" s="1"/>
  <c r="AA176" i="15"/>
  <c r="V16" i="5"/>
  <c r="H1537" i="25" s="1"/>
  <c r="I197" i="26" s="1"/>
  <c r="H364" i="25" s="1"/>
  <c r="AA185" i="15"/>
  <c r="H81" i="13"/>
  <c r="H1775" i="25" s="1"/>
  <c r="AA170" i="15"/>
  <c r="V15" i="5"/>
  <c r="H1536" i="25" s="1"/>
  <c r="I196" i="26" s="1"/>
  <c r="H363" i="25" s="1"/>
  <c r="H72" i="13" l="1"/>
  <c r="H1766" i="25" s="1"/>
  <c r="H1761" i="25"/>
  <c r="V22" i="5"/>
  <c r="H1560" i="25" s="1"/>
  <c r="I208" i="26" s="1"/>
  <c r="H376" i="25" s="1"/>
  <c r="G1560" i="25"/>
  <c r="H208" i="26" s="1"/>
  <c r="G376" i="25" s="1"/>
  <c r="H51" i="24"/>
  <c r="H1842" i="25" s="1"/>
  <c r="I676" i="25"/>
  <c r="H42" i="24"/>
  <c r="H1833" i="25" s="1"/>
  <c r="I667" i="25"/>
  <c r="H48" i="24"/>
  <c r="H1839" i="25" s="1"/>
  <c r="I673" i="25"/>
  <c r="H50" i="24"/>
  <c r="H1841" i="25" s="1"/>
  <c r="I675" i="25"/>
  <c r="E120" i="22"/>
  <c r="M125" i="22" s="1"/>
  <c r="G55" i="24"/>
  <c r="G1846" i="25" s="1"/>
  <c r="F260" i="26" s="1"/>
  <c r="E427" i="25" s="1"/>
  <c r="G48" i="24"/>
  <c r="G1839" i="25" s="1"/>
  <c r="F253" i="26" s="1"/>
  <c r="E420" i="25" s="1"/>
  <c r="H40" i="24"/>
  <c r="H1831" i="25" s="1"/>
  <c r="I665" i="25"/>
  <c r="G41" i="24"/>
  <c r="G1832" i="25" s="1"/>
  <c r="F246" i="26" s="1"/>
  <c r="E413" i="25" s="1"/>
  <c r="G49" i="24"/>
  <c r="G1840" i="25" s="1"/>
  <c r="F254" i="26" s="1"/>
  <c r="E421" i="25" s="1"/>
  <c r="H41" i="24"/>
  <c r="H1832" i="25" s="1"/>
  <c r="I666" i="25"/>
  <c r="H54" i="24"/>
  <c r="H1845" i="25" s="1"/>
  <c r="I679" i="25"/>
  <c r="H56" i="24"/>
  <c r="H1847" i="25" s="1"/>
  <c r="I681" i="25"/>
  <c r="H52" i="24"/>
  <c r="H1843" i="25" s="1"/>
  <c r="I677" i="25"/>
  <c r="H47" i="24"/>
  <c r="H1838" i="25" s="1"/>
  <c r="I672" i="25"/>
  <c r="H44" i="24"/>
  <c r="H1835" i="25" s="1"/>
  <c r="I669" i="25"/>
  <c r="G59" i="24"/>
  <c r="G1850" i="25" s="1"/>
  <c r="F264" i="26" s="1"/>
  <c r="E431" i="25" s="1"/>
  <c r="G53" i="24"/>
  <c r="G1844" i="25" s="1"/>
  <c r="F258" i="26" s="1"/>
  <c r="E425" i="25" s="1"/>
  <c r="H49" i="24"/>
  <c r="H1840" i="25" s="1"/>
  <c r="I674" i="25"/>
  <c r="H55" i="24"/>
  <c r="H1846" i="25" s="1"/>
  <c r="I680" i="25"/>
  <c r="H43" i="24"/>
  <c r="H1834" i="25" s="1"/>
  <c r="I668" i="25"/>
  <c r="H59" i="24"/>
  <c r="H1850" i="25" s="1"/>
  <c r="I684" i="25"/>
  <c r="H53" i="24"/>
  <c r="H1844" i="25" s="1"/>
  <c r="I678" i="25"/>
  <c r="H45" i="24"/>
  <c r="H1836" i="25" s="1"/>
  <c r="I670" i="25"/>
  <c r="H57" i="24"/>
  <c r="H1848" i="25" s="1"/>
  <c r="I682" i="25"/>
  <c r="H46" i="24"/>
  <c r="H1837" i="25" s="1"/>
  <c r="I671" i="25"/>
  <c r="H58" i="24"/>
  <c r="H1849" i="25" s="1"/>
  <c r="I683" i="25"/>
  <c r="H83" i="13"/>
  <c r="H60" i="24"/>
  <c r="H1851" i="25" s="1"/>
  <c r="S15" i="5"/>
  <c r="H1533" i="25" s="1"/>
  <c r="I193" i="26" s="1"/>
  <c r="H360" i="25" s="1"/>
  <c r="V21" i="5"/>
  <c r="V23" i="5"/>
  <c r="H1561" i="25" s="1"/>
  <c r="I209" i="26" s="1"/>
  <c r="H377" i="25" s="1"/>
  <c r="G40" i="24"/>
  <c r="G1831" i="25" s="1"/>
  <c r="F245" i="26" s="1"/>
  <c r="E412" i="25" s="1"/>
  <c r="G46" i="24"/>
  <c r="G1837" i="25" s="1"/>
  <c r="F251" i="26" s="1"/>
  <c r="E418" i="25" s="1"/>
  <c r="I77" i="12"/>
  <c r="H97" i="12"/>
  <c r="H1674" i="25" s="1"/>
  <c r="I218" i="26" s="1"/>
  <c r="H386" i="25" s="1"/>
  <c r="G56" i="24"/>
  <c r="G1847" i="25" s="1"/>
  <c r="F261" i="26" s="1"/>
  <c r="E428" i="25" s="1"/>
  <c r="G51" i="24"/>
  <c r="G1842" i="25" s="1"/>
  <c r="F256" i="26" s="1"/>
  <c r="E423" i="25" s="1"/>
  <c r="G50" i="24"/>
  <c r="G1841" i="25" s="1"/>
  <c r="F255" i="26" s="1"/>
  <c r="E422" i="25" s="1"/>
  <c r="G42" i="24"/>
  <c r="G1833" i="25" s="1"/>
  <c r="F247" i="26" s="1"/>
  <c r="E414" i="25" s="1"/>
  <c r="H69" i="13"/>
  <c r="H1763" i="25" s="1"/>
  <c r="H70" i="13"/>
  <c r="H1764" i="25" s="1"/>
  <c r="H71" i="13"/>
  <c r="H1765" i="25" s="1"/>
  <c r="V20" i="5"/>
  <c r="G57" i="24"/>
  <c r="G1848" i="25" s="1"/>
  <c r="F262" i="26" s="1"/>
  <c r="E429" i="25" s="1"/>
  <c r="G43" i="24"/>
  <c r="G1834" i="25" s="1"/>
  <c r="F248" i="26" s="1"/>
  <c r="E415" i="25" s="1"/>
  <c r="G54" i="24"/>
  <c r="G1845" i="25" s="1"/>
  <c r="F259" i="26" s="1"/>
  <c r="E426" i="25" s="1"/>
  <c r="S16" i="5"/>
  <c r="H1534" i="25" s="1"/>
  <c r="I194" i="26" s="1"/>
  <c r="H361" i="25" s="1"/>
  <c r="G52" i="24"/>
  <c r="G1843" i="25" s="1"/>
  <c r="F257" i="26" s="1"/>
  <c r="E424" i="25" s="1"/>
  <c r="G45" i="24"/>
  <c r="G1836" i="25" s="1"/>
  <c r="F250" i="26" s="1"/>
  <c r="E417" i="25" s="1"/>
  <c r="G60" i="24"/>
  <c r="G1851" i="25" s="1"/>
  <c r="F265" i="26" s="1"/>
  <c r="E432" i="25" s="1"/>
  <c r="G58" i="24"/>
  <c r="G1849" i="25" s="1"/>
  <c r="F263" i="26" s="1"/>
  <c r="E430" i="25" s="1"/>
  <c r="G44" i="24"/>
  <c r="G1835" i="25" s="1"/>
  <c r="F249" i="26" s="1"/>
  <c r="E416" i="25" s="1"/>
  <c r="G47" i="24"/>
  <c r="G1838" i="25" s="1"/>
  <c r="F252" i="26" s="1"/>
  <c r="E419" i="25" s="1"/>
  <c r="C86" i="13" l="1"/>
  <c r="C1780" i="25" s="1"/>
  <c r="H1777" i="25"/>
  <c r="K125" i="22"/>
  <c r="K127" i="22"/>
  <c r="G126" i="22"/>
  <c r="I125" i="22"/>
  <c r="M127" i="22"/>
  <c r="I124" i="22"/>
  <c r="G127" i="22"/>
  <c r="K124" i="22"/>
  <c r="M124" i="22"/>
  <c r="M126" i="22"/>
  <c r="I126" i="22"/>
  <c r="K126" i="22"/>
  <c r="I127" i="22"/>
  <c r="C103" i="12"/>
  <c r="C1680" i="25" s="1"/>
  <c r="C99" i="12"/>
  <c r="C1676" i="25" s="1"/>
  <c r="D224" i="26" l="1"/>
  <c r="H1680" i="25"/>
  <c r="D1680" i="25"/>
  <c r="D220" i="26"/>
  <c r="D1676" i="25"/>
  <c r="H1676" i="25"/>
  <c r="D234" i="26"/>
  <c r="D99" i="12"/>
  <c r="H99" i="12"/>
  <c r="H73" i="13"/>
  <c r="D103" i="12"/>
  <c r="H103" i="12"/>
  <c r="I14" i="24" l="1"/>
  <c r="H1801" i="25" s="1"/>
  <c r="H1767" i="25"/>
  <c r="C402" i="25"/>
  <c r="C388" i="25"/>
  <c r="I220" i="26"/>
  <c r="E220" i="26"/>
  <c r="I224" i="26"/>
  <c r="E224" i="26"/>
  <c r="C392" i="25"/>
  <c r="D40" i="24"/>
  <c r="D46" i="24"/>
  <c r="D1837" i="25" s="1"/>
  <c r="D45" i="24"/>
  <c r="D1836" i="25" s="1"/>
  <c r="D53" i="24"/>
  <c r="D1844" i="25" s="1"/>
  <c r="D56" i="24"/>
  <c r="D1847" i="25" s="1"/>
  <c r="D42" i="24"/>
  <c r="D1833" i="25" s="1"/>
  <c r="D44" i="24"/>
  <c r="D1835" i="25" s="1"/>
  <c r="D47" i="24"/>
  <c r="D1838" i="25" s="1"/>
  <c r="D52" i="24"/>
  <c r="D1843" i="25" s="1"/>
  <c r="D59" i="24"/>
  <c r="D1850" i="25" s="1"/>
  <c r="D48" i="24"/>
  <c r="D1839" i="25" s="1"/>
  <c r="D50" i="24"/>
  <c r="D1841" i="25" s="1"/>
  <c r="D51" i="24"/>
  <c r="D1842" i="25" s="1"/>
  <c r="D41" i="24"/>
  <c r="D1832" i="25" s="1"/>
  <c r="D57" i="24"/>
  <c r="D1848" i="25" s="1"/>
  <c r="D60" i="24"/>
  <c r="D1851" i="25" s="1"/>
  <c r="D43" i="24"/>
  <c r="D1834" i="25" s="1"/>
  <c r="D54" i="24"/>
  <c r="D1845" i="25" s="1"/>
  <c r="D58" i="24"/>
  <c r="D1849" i="25" s="1"/>
  <c r="D49" i="24"/>
  <c r="D1840" i="25" s="1"/>
  <c r="D55" i="24"/>
  <c r="D1846" i="25" s="1"/>
  <c r="H76" i="13"/>
  <c r="H1770" i="25" s="1"/>
  <c r="H74" i="13"/>
  <c r="H1768" i="25" s="1"/>
  <c r="D392" i="25" l="1"/>
  <c r="H392" i="25"/>
  <c r="D388" i="25"/>
  <c r="H388" i="25"/>
  <c r="C64" i="24"/>
  <c r="D1831" i="25"/>
  <c r="C75" i="24"/>
  <c r="I51" i="24"/>
  <c r="I47" i="24"/>
  <c r="C71" i="24"/>
  <c r="I50" i="24"/>
  <c r="C74" i="24"/>
  <c r="C66" i="24"/>
  <c r="I42" i="24"/>
  <c r="I60" i="24"/>
  <c r="C84" i="24"/>
  <c r="C65" i="24"/>
  <c r="I41" i="24"/>
  <c r="C76" i="24"/>
  <c r="I52" i="24"/>
  <c r="I44" i="24"/>
  <c r="C68" i="24"/>
  <c r="C79" i="24"/>
  <c r="I55" i="24"/>
  <c r="C82" i="24"/>
  <c r="I58" i="24"/>
  <c r="C69" i="24"/>
  <c r="I45" i="24"/>
  <c r="C81" i="24"/>
  <c r="I57" i="24"/>
  <c r="C83" i="24"/>
  <c r="I59" i="24"/>
  <c r="C80" i="24"/>
  <c r="I56" i="24"/>
  <c r="C73" i="24"/>
  <c r="I49" i="24"/>
  <c r="C77" i="24"/>
  <c r="I53" i="24"/>
  <c r="C78" i="24"/>
  <c r="I54" i="24"/>
  <c r="C70" i="24"/>
  <c r="I46" i="24"/>
  <c r="C72" i="24"/>
  <c r="I48" i="24"/>
  <c r="C67" i="24"/>
  <c r="I43" i="24"/>
  <c r="H77" i="13"/>
  <c r="H1771" i="25" s="1"/>
  <c r="H80" i="13"/>
  <c r="D81" i="24" l="1"/>
  <c r="F1872" i="25" s="1"/>
  <c r="E1872" i="25"/>
  <c r="D71" i="24"/>
  <c r="F1862" i="25" s="1"/>
  <c r="E1862" i="25"/>
  <c r="D75" i="24"/>
  <c r="F1866" i="25" s="1"/>
  <c r="E1866" i="25"/>
  <c r="D74" i="24"/>
  <c r="F1865" i="25" s="1"/>
  <c r="E1865" i="25"/>
  <c r="J47" i="24"/>
  <c r="D1862" i="25" s="1"/>
  <c r="C1862" i="25"/>
  <c r="D68" i="24"/>
  <c r="F1859" i="25" s="1"/>
  <c r="E1859" i="25"/>
  <c r="D69" i="24"/>
  <c r="F1860" i="25" s="1"/>
  <c r="E1860" i="25"/>
  <c r="J54" i="24"/>
  <c r="D1869" i="25" s="1"/>
  <c r="C1869" i="25"/>
  <c r="J44" i="24"/>
  <c r="D1859" i="25" s="1"/>
  <c r="C1859" i="25"/>
  <c r="D64" i="24"/>
  <c r="E1855" i="25"/>
  <c r="J57" i="24"/>
  <c r="D1872" i="25" s="1"/>
  <c r="C1872" i="25"/>
  <c r="D82" i="24"/>
  <c r="F1873" i="25" s="1"/>
  <c r="E1873" i="25"/>
  <c r="J52" i="24"/>
  <c r="D1867" i="25" s="1"/>
  <c r="C1867" i="25"/>
  <c r="D67" i="24"/>
  <c r="F1858" i="25" s="1"/>
  <c r="E1858" i="25"/>
  <c r="J50" i="24"/>
  <c r="D1865" i="25" s="1"/>
  <c r="C1865" i="25"/>
  <c r="D79" i="24"/>
  <c r="F1870" i="25" s="1"/>
  <c r="E1870" i="25"/>
  <c r="D76" i="24"/>
  <c r="F1867" i="25" s="1"/>
  <c r="E1867" i="25"/>
  <c r="D66" i="24"/>
  <c r="F1857" i="25" s="1"/>
  <c r="E1857" i="25"/>
  <c r="D70" i="24"/>
  <c r="F1861" i="25" s="1"/>
  <c r="E1861" i="25"/>
  <c r="D77" i="24"/>
  <c r="F1868" i="25" s="1"/>
  <c r="E1868" i="25"/>
  <c r="J56" i="24"/>
  <c r="D1871" i="25" s="1"/>
  <c r="C1871" i="25"/>
  <c r="J41" i="24"/>
  <c r="D1856" i="25" s="1"/>
  <c r="C1856" i="25"/>
  <c r="J43" i="24"/>
  <c r="D1858" i="25" s="1"/>
  <c r="C1858" i="25"/>
  <c r="J45" i="24"/>
  <c r="D1860" i="25" s="1"/>
  <c r="C1860" i="25"/>
  <c r="J46" i="24"/>
  <c r="D1861" i="25" s="1"/>
  <c r="C1861" i="25"/>
  <c r="J55" i="24"/>
  <c r="D1870" i="25" s="1"/>
  <c r="C1870" i="25"/>
  <c r="J53" i="24"/>
  <c r="D1868" i="25" s="1"/>
  <c r="C1868" i="25"/>
  <c r="D65" i="24"/>
  <c r="F1856" i="25" s="1"/>
  <c r="E1856" i="25"/>
  <c r="J48" i="24"/>
  <c r="D1863" i="25" s="1"/>
  <c r="C1863" i="25"/>
  <c r="J58" i="24"/>
  <c r="D1873" i="25" s="1"/>
  <c r="C1873" i="25"/>
  <c r="D78" i="24"/>
  <c r="F1869" i="25" s="1"/>
  <c r="E1869" i="25"/>
  <c r="J49" i="24"/>
  <c r="D1864" i="25" s="1"/>
  <c r="C1864" i="25"/>
  <c r="H82" i="13"/>
  <c r="H1774" i="25"/>
  <c r="J59" i="24"/>
  <c r="D1874" i="25" s="1"/>
  <c r="C1874" i="25"/>
  <c r="D84" i="24"/>
  <c r="F1875" i="25" s="1"/>
  <c r="E1875" i="25"/>
  <c r="J42" i="24"/>
  <c r="D1857" i="25" s="1"/>
  <c r="C1857" i="25"/>
  <c r="D72" i="24"/>
  <c r="F1863" i="25" s="1"/>
  <c r="E1863" i="25"/>
  <c r="J51" i="24"/>
  <c r="D1866" i="25" s="1"/>
  <c r="C1866" i="25"/>
  <c r="D73" i="24"/>
  <c r="F1864" i="25" s="1"/>
  <c r="E1864" i="25"/>
  <c r="D80" i="24"/>
  <c r="F1871" i="25" s="1"/>
  <c r="E1871" i="25"/>
  <c r="D83" i="24"/>
  <c r="F1874" i="25" s="1"/>
  <c r="E1874" i="25"/>
  <c r="J60" i="24"/>
  <c r="D1875" i="25" s="1"/>
  <c r="C1875" i="25"/>
  <c r="E84" i="24"/>
  <c r="E77" i="24"/>
  <c r="F77" i="24"/>
  <c r="H1868" i="25" s="1"/>
  <c r="F81" i="24"/>
  <c r="H1872" i="25" s="1"/>
  <c r="E81" i="24"/>
  <c r="E66" i="24"/>
  <c r="F66" i="24"/>
  <c r="H1857" i="25" s="1"/>
  <c r="E74" i="24"/>
  <c r="E65" i="24"/>
  <c r="E76" i="24"/>
  <c r="F76" i="24"/>
  <c r="H1867" i="25" s="1"/>
  <c r="E83" i="24"/>
  <c r="F83" i="24"/>
  <c r="H1874" i="25" s="1"/>
  <c r="E72" i="24"/>
  <c r="F72" i="24"/>
  <c r="H1863" i="25" s="1"/>
  <c r="E71" i="24"/>
  <c r="F71" i="24"/>
  <c r="H1862" i="25" s="1"/>
  <c r="E82" i="24"/>
  <c r="F82" i="24"/>
  <c r="H1873" i="25" s="1"/>
  <c r="E70" i="24"/>
  <c r="F70" i="24"/>
  <c r="H1861" i="25" s="1"/>
  <c r="E75" i="24"/>
  <c r="F75" i="24"/>
  <c r="H1866" i="25" s="1"/>
  <c r="C90" i="13"/>
  <c r="C1784" i="25" s="1"/>
  <c r="G81" i="24" l="1"/>
  <c r="G1872" i="25"/>
  <c r="G66" i="24"/>
  <c r="G1857" i="25"/>
  <c r="G71" i="24"/>
  <c r="G1862" i="25"/>
  <c r="G72" i="24"/>
  <c r="G1863" i="25"/>
  <c r="G82" i="24"/>
  <c r="G1873" i="25"/>
  <c r="D238" i="26"/>
  <c r="H1784" i="25"/>
  <c r="D1784" i="25"/>
  <c r="F84" i="24"/>
  <c r="H1875" i="25" s="1"/>
  <c r="F78" i="24"/>
  <c r="H1869" i="25" s="1"/>
  <c r="G77" i="24"/>
  <c r="G1868" i="25"/>
  <c r="F68" i="24"/>
  <c r="H1859" i="25" s="1"/>
  <c r="E78" i="24"/>
  <c r="F79" i="24"/>
  <c r="H1870" i="25" s="1"/>
  <c r="E79" i="24"/>
  <c r="F73" i="24"/>
  <c r="H1864" i="25" s="1"/>
  <c r="F65" i="24"/>
  <c r="H1856" i="25" s="1"/>
  <c r="G75" i="24"/>
  <c r="G1866" i="25"/>
  <c r="G83" i="24"/>
  <c r="G1874" i="25"/>
  <c r="G70" i="24"/>
  <c r="G1861" i="25"/>
  <c r="F1855" i="25"/>
  <c r="E64" i="24"/>
  <c r="F64" i="24"/>
  <c r="H1855" i="25" s="1"/>
  <c r="G76" i="24"/>
  <c r="G1867" i="25"/>
  <c r="F69" i="24"/>
  <c r="H1860" i="25" s="1"/>
  <c r="E68" i="24"/>
  <c r="E73" i="24"/>
  <c r="G65" i="24"/>
  <c r="G1856" i="25"/>
  <c r="F67" i="24"/>
  <c r="H1858" i="25" s="1"/>
  <c r="F74" i="24"/>
  <c r="H1865" i="25" s="1"/>
  <c r="F80" i="24"/>
  <c r="H1871" i="25" s="1"/>
  <c r="E80" i="24"/>
  <c r="G84" i="24"/>
  <c r="G1875" i="25"/>
  <c r="E69" i="24"/>
  <c r="E67" i="24"/>
  <c r="G74" i="24"/>
  <c r="G1865" i="25"/>
  <c r="K83" i="13"/>
  <c r="H1776" i="25"/>
  <c r="H90" i="13"/>
  <c r="D90" i="13"/>
  <c r="E86" i="13"/>
  <c r="E1780" i="25" s="1"/>
  <c r="H77" i="24" l="1"/>
  <c r="I1868" i="25"/>
  <c r="H83" i="24"/>
  <c r="I1874" i="25"/>
  <c r="H84" i="24"/>
  <c r="I1875" i="25"/>
  <c r="H82" i="24"/>
  <c r="I1873" i="25"/>
  <c r="H74" i="24"/>
  <c r="I1865" i="25"/>
  <c r="H75" i="24"/>
  <c r="I1866" i="25"/>
  <c r="H72" i="24"/>
  <c r="I1863" i="25"/>
  <c r="G64" i="24"/>
  <c r="G1855" i="25"/>
  <c r="G69" i="24"/>
  <c r="G1860" i="25"/>
  <c r="C406" i="25"/>
  <c r="E238" i="26"/>
  <c r="I238" i="26"/>
  <c r="H65" i="24"/>
  <c r="I1856" i="25"/>
  <c r="F234" i="26"/>
  <c r="H1780" i="25"/>
  <c r="D1780" i="25"/>
  <c r="H70" i="24"/>
  <c r="I1861" i="25"/>
  <c r="G73" i="24"/>
  <c r="G1864" i="25"/>
  <c r="G79" i="24"/>
  <c r="G1870" i="25"/>
  <c r="H71" i="24"/>
  <c r="I1862" i="25"/>
  <c r="G68" i="24"/>
  <c r="G1859" i="25"/>
  <c r="G78" i="24"/>
  <c r="G1869" i="25"/>
  <c r="H66" i="24"/>
  <c r="I1857" i="25"/>
  <c r="G67" i="24"/>
  <c r="G1858" i="25"/>
  <c r="G80" i="24"/>
  <c r="G1871" i="25"/>
  <c r="H76" i="24"/>
  <c r="I1867" i="25"/>
  <c r="H81" i="24"/>
  <c r="I1872" i="25"/>
  <c r="H86" i="13"/>
  <c r="D86" i="13"/>
  <c r="H73" i="24" l="1"/>
  <c r="I1864" i="25"/>
  <c r="H64" i="24"/>
  <c r="I1855" i="25"/>
  <c r="J82" i="24"/>
  <c r="C1904" i="25"/>
  <c r="I82" i="24"/>
  <c r="D1904" i="25" s="1"/>
  <c r="H67" i="24"/>
  <c r="I1858" i="25"/>
  <c r="C1887" i="25"/>
  <c r="I65" i="24"/>
  <c r="D1887" i="25" s="1"/>
  <c r="J65" i="24"/>
  <c r="J72" i="24"/>
  <c r="C1894" i="25"/>
  <c r="I72" i="24"/>
  <c r="D1894" i="25" s="1"/>
  <c r="J75" i="24"/>
  <c r="C1897" i="25"/>
  <c r="I75" i="24"/>
  <c r="D1897" i="25" s="1"/>
  <c r="J84" i="24"/>
  <c r="C1906" i="25"/>
  <c r="I84" i="24"/>
  <c r="D1906" i="25" s="1"/>
  <c r="H79" i="24"/>
  <c r="I1870" i="25"/>
  <c r="J70" i="24"/>
  <c r="C1892" i="25"/>
  <c r="I70" i="24"/>
  <c r="D1892" i="25" s="1"/>
  <c r="J81" i="24"/>
  <c r="C1903" i="25"/>
  <c r="I81" i="24"/>
  <c r="D1903" i="25" s="1"/>
  <c r="H80" i="24"/>
  <c r="I1871" i="25"/>
  <c r="J74" i="24"/>
  <c r="C1896" i="25"/>
  <c r="I74" i="24"/>
  <c r="D1896" i="25" s="1"/>
  <c r="J66" i="24"/>
  <c r="C1888" i="25"/>
  <c r="I66" i="24"/>
  <c r="D1888" i="25" s="1"/>
  <c r="H68" i="24"/>
  <c r="I1859" i="25"/>
  <c r="H406" i="25"/>
  <c r="D406" i="25"/>
  <c r="J83" i="24"/>
  <c r="C1905" i="25"/>
  <c r="I83" i="24"/>
  <c r="D1905" i="25" s="1"/>
  <c r="J76" i="24"/>
  <c r="C1898" i="25"/>
  <c r="I76" i="24"/>
  <c r="D1898" i="25" s="1"/>
  <c r="E402" i="25"/>
  <c r="I234" i="26"/>
  <c r="E234" i="26"/>
  <c r="H78" i="24"/>
  <c r="I1869" i="25"/>
  <c r="J71" i="24"/>
  <c r="C1893" i="25"/>
  <c r="I71" i="24"/>
  <c r="D1893" i="25" s="1"/>
  <c r="H69" i="24"/>
  <c r="I1860" i="25"/>
  <c r="J77" i="24"/>
  <c r="C1899" i="25"/>
  <c r="I77" i="24"/>
  <c r="D1899" i="25" s="1"/>
  <c r="J80" i="24" l="1"/>
  <c r="C1902" i="25"/>
  <c r="I80" i="24"/>
  <c r="D1902" i="25" s="1"/>
  <c r="J67" i="24"/>
  <c r="C1889" i="25"/>
  <c r="I67" i="24"/>
  <c r="D1889" i="25" s="1"/>
  <c r="J68" i="24"/>
  <c r="C1890" i="25"/>
  <c r="I68" i="24"/>
  <c r="D1890" i="25" s="1"/>
  <c r="J79" i="24"/>
  <c r="C1901" i="25"/>
  <c r="I79" i="24"/>
  <c r="D1901" i="25" s="1"/>
  <c r="H402" i="25"/>
  <c r="D402" i="25"/>
  <c r="E1904" i="25"/>
  <c r="C106" i="24"/>
  <c r="E1894" i="25"/>
  <c r="C96" i="24"/>
  <c r="E1903" i="25"/>
  <c r="C105" i="24"/>
  <c r="J69" i="24"/>
  <c r="C1891" i="25"/>
  <c r="I69" i="24"/>
  <c r="D1891" i="25" s="1"/>
  <c r="E1893" i="25"/>
  <c r="C95" i="24"/>
  <c r="E1897" i="25"/>
  <c r="C99" i="24"/>
  <c r="C89" i="24"/>
  <c r="E1887" i="25"/>
  <c r="E1899" i="25"/>
  <c r="C101" i="24"/>
  <c r="J78" i="24"/>
  <c r="C1900" i="25"/>
  <c r="I78" i="24"/>
  <c r="D1900" i="25" s="1"/>
  <c r="E1888" i="25"/>
  <c r="C90" i="24"/>
  <c r="E1906" i="25"/>
  <c r="C108" i="24"/>
  <c r="C1886" i="25"/>
  <c r="J64" i="24"/>
  <c r="I64" i="24"/>
  <c r="D1886" i="25" s="1"/>
  <c r="E1896" i="25"/>
  <c r="C98" i="24"/>
  <c r="E1905" i="25"/>
  <c r="C107" i="24"/>
  <c r="E1898" i="25"/>
  <c r="C100" i="24"/>
  <c r="E1892" i="25"/>
  <c r="C94" i="24"/>
  <c r="J73" i="24"/>
  <c r="C1895" i="25"/>
  <c r="I73" i="24"/>
  <c r="D1895" i="25" s="1"/>
  <c r="D89" i="24" l="1"/>
  <c r="F1887" i="25"/>
  <c r="E1900" i="25"/>
  <c r="C102" i="24"/>
  <c r="D98" i="24"/>
  <c r="F1896" i="25"/>
  <c r="D95" i="24"/>
  <c r="F1893" i="25"/>
  <c r="D100" i="24"/>
  <c r="F1898" i="25"/>
  <c r="E1890" i="25"/>
  <c r="C92" i="24"/>
  <c r="D108" i="24"/>
  <c r="F1906" i="25"/>
  <c r="E1901" i="25"/>
  <c r="C103" i="24"/>
  <c r="C88" i="24"/>
  <c r="E1886" i="25"/>
  <c r="E1891" i="25"/>
  <c r="C93" i="24"/>
  <c r="D101" i="24"/>
  <c r="F1899" i="25"/>
  <c r="D90" i="24"/>
  <c r="F1888" i="25"/>
  <c r="D105" i="24"/>
  <c r="F1903" i="25"/>
  <c r="E1889" i="25"/>
  <c r="C91" i="24"/>
  <c r="D106" i="24"/>
  <c r="F1904" i="25"/>
  <c r="D99" i="24"/>
  <c r="F1897" i="25"/>
  <c r="D96" i="24"/>
  <c r="F1894" i="25"/>
  <c r="D107" i="24"/>
  <c r="F1905" i="25"/>
  <c r="E1895" i="25"/>
  <c r="C97" i="24"/>
  <c r="D94" i="24"/>
  <c r="F1892" i="25"/>
  <c r="E1902" i="25"/>
  <c r="C104" i="24"/>
  <c r="D103" i="24" l="1"/>
  <c r="F1901" i="25"/>
  <c r="E99" i="24"/>
  <c r="G1897" i="25"/>
  <c r="E256" i="26" s="1"/>
  <c r="D423" i="25" s="1"/>
  <c r="D104" i="24"/>
  <c r="F1902" i="25"/>
  <c r="E105" i="24"/>
  <c r="G1903" i="25"/>
  <c r="E262" i="26" s="1"/>
  <c r="D429" i="25" s="1"/>
  <c r="E94" i="24"/>
  <c r="G1892" i="25"/>
  <c r="E251" i="26" s="1"/>
  <c r="D418" i="25" s="1"/>
  <c r="E95" i="24"/>
  <c r="G1893" i="25"/>
  <c r="E252" i="26" s="1"/>
  <c r="D419" i="25" s="1"/>
  <c r="E98" i="24"/>
  <c r="G1896" i="25"/>
  <c r="E255" i="26" s="1"/>
  <c r="D422" i="25" s="1"/>
  <c r="D91" i="24"/>
  <c r="F1889" i="25"/>
  <c r="E90" i="24"/>
  <c r="G1888" i="25"/>
  <c r="E247" i="26" s="1"/>
  <c r="D414" i="25" s="1"/>
  <c r="D102" i="24"/>
  <c r="F1900" i="25"/>
  <c r="E106" i="24"/>
  <c r="G1904" i="25"/>
  <c r="E263" i="26" s="1"/>
  <c r="D430" i="25" s="1"/>
  <c r="E100" i="24"/>
  <c r="G1898" i="25"/>
  <c r="E257" i="26" s="1"/>
  <c r="D424" i="25" s="1"/>
  <c r="D93" i="24"/>
  <c r="F1891" i="25"/>
  <c r="E108" i="24"/>
  <c r="G1906" i="25"/>
  <c r="E265" i="26" s="1"/>
  <c r="D432" i="25" s="1"/>
  <c r="E101" i="24"/>
  <c r="G1899" i="25"/>
  <c r="E258" i="26" s="1"/>
  <c r="D425" i="25" s="1"/>
  <c r="E107" i="24"/>
  <c r="G1905" i="25"/>
  <c r="E264" i="26" s="1"/>
  <c r="D431" i="25" s="1"/>
  <c r="D92" i="24"/>
  <c r="F1890" i="25"/>
  <c r="D97" i="24"/>
  <c r="F1895" i="25"/>
  <c r="E96" i="24"/>
  <c r="G1894" i="25"/>
  <c r="E253" i="26" s="1"/>
  <c r="D420" i="25" s="1"/>
  <c r="D88" i="24"/>
  <c r="F1886" i="25"/>
  <c r="E89" i="24"/>
  <c r="G1887" i="25"/>
  <c r="E246" i="26" s="1"/>
  <c r="D413" i="25" s="1"/>
  <c r="F101" i="24" l="1"/>
  <c r="H1899" i="25"/>
  <c r="F107" i="24"/>
  <c r="H1905" i="25"/>
  <c r="F95" i="24"/>
  <c r="H1893" i="25"/>
  <c r="F105" i="24"/>
  <c r="H1903" i="25"/>
  <c r="F94" i="24"/>
  <c r="H1892" i="25"/>
  <c r="F98" i="24"/>
  <c r="H1896" i="25"/>
  <c r="F89" i="24"/>
  <c r="H1887" i="25"/>
  <c r="F100" i="24"/>
  <c r="H1898" i="25"/>
  <c r="F106" i="24"/>
  <c r="H1904" i="25"/>
  <c r="E104" i="24"/>
  <c r="G1902" i="25"/>
  <c r="E261" i="26" s="1"/>
  <c r="D428" i="25" s="1"/>
  <c r="E91" i="24"/>
  <c r="G1889" i="25"/>
  <c r="E248" i="26" s="1"/>
  <c r="D415" i="25" s="1"/>
  <c r="E88" i="24"/>
  <c r="G1886" i="25"/>
  <c r="E245" i="26" s="1"/>
  <c r="D412" i="25" s="1"/>
  <c r="F108" i="24"/>
  <c r="H1906" i="25"/>
  <c r="E102" i="24"/>
  <c r="G1900" i="25"/>
  <c r="E259" i="26" s="1"/>
  <c r="D426" i="25" s="1"/>
  <c r="F99" i="24"/>
  <c r="H1897" i="25"/>
  <c r="F96" i="24"/>
  <c r="H1894" i="25"/>
  <c r="E93" i="24"/>
  <c r="G1891" i="25"/>
  <c r="E250" i="26" s="1"/>
  <c r="D417" i="25" s="1"/>
  <c r="E97" i="24"/>
  <c r="G1895" i="25"/>
  <c r="E254" i="26" s="1"/>
  <c r="D421" i="25" s="1"/>
  <c r="E92" i="24"/>
  <c r="G1890" i="25"/>
  <c r="E249" i="26" s="1"/>
  <c r="D416" i="25" s="1"/>
  <c r="F90" i="24"/>
  <c r="H1888" i="25"/>
  <c r="E103" i="24"/>
  <c r="G1901" i="25"/>
  <c r="E260" i="26" s="1"/>
  <c r="D427" i="25" s="1"/>
  <c r="H99" i="24" l="1"/>
  <c r="I1897" i="25"/>
  <c r="H96" i="24"/>
  <c r="I1894" i="25"/>
  <c r="F88" i="24"/>
  <c r="H1886" i="25"/>
  <c r="H105" i="24"/>
  <c r="I1903" i="25"/>
  <c r="H100" i="24"/>
  <c r="I1898" i="25"/>
  <c r="H89" i="24"/>
  <c r="I1887" i="25"/>
  <c r="F92" i="24"/>
  <c r="H1890" i="25"/>
  <c r="F91" i="24"/>
  <c r="H1889" i="25"/>
  <c r="H95" i="24"/>
  <c r="I1893" i="25"/>
  <c r="H98" i="24"/>
  <c r="I1896" i="25"/>
  <c r="F102" i="24"/>
  <c r="H1900" i="25"/>
  <c r="H94" i="24"/>
  <c r="I1892" i="25"/>
  <c r="H90" i="24"/>
  <c r="I1888" i="25"/>
  <c r="H107" i="24"/>
  <c r="I1905" i="25"/>
  <c r="F103" i="24"/>
  <c r="H1901" i="25"/>
  <c r="F104" i="24"/>
  <c r="H1902" i="25"/>
  <c r="H108" i="24"/>
  <c r="I1906" i="25"/>
  <c r="F97" i="24"/>
  <c r="H1895" i="25"/>
  <c r="F93" i="24"/>
  <c r="H1891" i="25"/>
  <c r="H106" i="24"/>
  <c r="I1904" i="25"/>
  <c r="H101" i="24"/>
  <c r="I1899" i="25"/>
  <c r="I105" i="24" l="1"/>
  <c r="D1927" i="25"/>
  <c r="G262" i="26" s="1"/>
  <c r="F429" i="25" s="1"/>
  <c r="H103" i="24"/>
  <c r="I1901" i="25"/>
  <c r="H92" i="24"/>
  <c r="I1890" i="25"/>
  <c r="I90" i="24"/>
  <c r="D1912" i="25"/>
  <c r="G247" i="26" s="1"/>
  <c r="F414" i="25" s="1"/>
  <c r="H88" i="24"/>
  <c r="I1886" i="25"/>
  <c r="H104" i="24"/>
  <c r="I1902" i="25"/>
  <c r="I94" i="24"/>
  <c r="D1916" i="25"/>
  <c r="G251" i="26" s="1"/>
  <c r="F418" i="25" s="1"/>
  <c r="H102" i="24"/>
  <c r="I1900" i="25"/>
  <c r="I107" i="24"/>
  <c r="D1929" i="25"/>
  <c r="G264" i="26" s="1"/>
  <c r="F431" i="25" s="1"/>
  <c r="I100" i="24"/>
  <c r="D1922" i="25"/>
  <c r="G257" i="26" s="1"/>
  <c r="F424" i="25" s="1"/>
  <c r="I98" i="24"/>
  <c r="D1920" i="25"/>
  <c r="G255" i="26" s="1"/>
  <c r="F422" i="25" s="1"/>
  <c r="I96" i="24"/>
  <c r="D1918" i="25"/>
  <c r="G253" i="26" s="1"/>
  <c r="F420" i="25" s="1"/>
  <c r="H91" i="24"/>
  <c r="I1889" i="25"/>
  <c r="H97" i="24"/>
  <c r="I1895" i="25"/>
  <c r="I89" i="24"/>
  <c r="D1911" i="25"/>
  <c r="G246" i="26" s="1"/>
  <c r="F413" i="25" s="1"/>
  <c r="I101" i="24"/>
  <c r="D1923" i="25"/>
  <c r="G258" i="26" s="1"/>
  <c r="F425" i="25" s="1"/>
  <c r="I106" i="24"/>
  <c r="D1928" i="25"/>
  <c r="G263" i="26" s="1"/>
  <c r="F430" i="25" s="1"/>
  <c r="H93" i="24"/>
  <c r="I1891" i="25"/>
  <c r="I108" i="24"/>
  <c r="D1930" i="25"/>
  <c r="G265" i="26" s="1"/>
  <c r="F432" i="25" s="1"/>
  <c r="I95" i="24"/>
  <c r="D1917" i="25"/>
  <c r="G252" i="26" s="1"/>
  <c r="F419" i="25" s="1"/>
  <c r="I99" i="24"/>
  <c r="D1921" i="25"/>
  <c r="G256" i="26" s="1"/>
  <c r="F423" i="25" s="1"/>
  <c r="J94" i="24" l="1"/>
  <c r="F1916" i="25" s="1"/>
  <c r="I251" i="26" s="1"/>
  <c r="H418" i="25" s="1"/>
  <c r="E1916" i="25"/>
  <c r="H251" i="26" s="1"/>
  <c r="G418" i="25" s="1"/>
  <c r="J101" i="24"/>
  <c r="F1923" i="25" s="1"/>
  <c r="I258" i="26" s="1"/>
  <c r="H425" i="25" s="1"/>
  <c r="E1923" i="25"/>
  <c r="H258" i="26" s="1"/>
  <c r="G425" i="25" s="1"/>
  <c r="J89" i="24"/>
  <c r="F1911" i="25" s="1"/>
  <c r="I246" i="26" s="1"/>
  <c r="H413" i="25" s="1"/>
  <c r="E1911" i="25"/>
  <c r="H246" i="26" s="1"/>
  <c r="G413" i="25" s="1"/>
  <c r="I91" i="24"/>
  <c r="D1913" i="25"/>
  <c r="G248" i="26" s="1"/>
  <c r="F415" i="25" s="1"/>
  <c r="J96" i="24"/>
  <c r="F1918" i="25" s="1"/>
  <c r="I253" i="26" s="1"/>
  <c r="H420" i="25" s="1"/>
  <c r="E1918" i="25"/>
  <c r="H253" i="26" s="1"/>
  <c r="G420" i="25" s="1"/>
  <c r="I102" i="24"/>
  <c r="D1924" i="25"/>
  <c r="G259" i="26" s="1"/>
  <c r="F426" i="25" s="1"/>
  <c r="I92" i="24"/>
  <c r="D1914" i="25"/>
  <c r="G249" i="26" s="1"/>
  <c r="F416" i="25" s="1"/>
  <c r="I88" i="24"/>
  <c r="D1910" i="25"/>
  <c r="G245" i="26" s="1"/>
  <c r="F412" i="25" s="1"/>
  <c r="J95" i="24"/>
  <c r="F1917" i="25" s="1"/>
  <c r="I252" i="26" s="1"/>
  <c r="H419" i="25" s="1"/>
  <c r="E1917" i="25"/>
  <c r="H252" i="26" s="1"/>
  <c r="G419" i="25" s="1"/>
  <c r="J99" i="24"/>
  <c r="F1921" i="25" s="1"/>
  <c r="I256" i="26" s="1"/>
  <c r="H423" i="25" s="1"/>
  <c r="E1921" i="25"/>
  <c r="H256" i="26" s="1"/>
  <c r="G423" i="25" s="1"/>
  <c r="J90" i="24"/>
  <c r="F1912" i="25" s="1"/>
  <c r="I247" i="26" s="1"/>
  <c r="H414" i="25" s="1"/>
  <c r="E1912" i="25"/>
  <c r="H247" i="26" s="1"/>
  <c r="G414" i="25" s="1"/>
  <c r="I93" i="24"/>
  <c r="D1915" i="25"/>
  <c r="G250" i="26" s="1"/>
  <c r="F417" i="25" s="1"/>
  <c r="I103" i="24"/>
  <c r="D1925" i="25"/>
  <c r="G260" i="26" s="1"/>
  <c r="F427" i="25" s="1"/>
  <c r="I104" i="24"/>
  <c r="D1926" i="25"/>
  <c r="G261" i="26" s="1"/>
  <c r="F428" i="25" s="1"/>
  <c r="J98" i="24"/>
  <c r="F1920" i="25" s="1"/>
  <c r="I255" i="26" s="1"/>
  <c r="H422" i="25" s="1"/>
  <c r="E1920" i="25"/>
  <c r="H255" i="26" s="1"/>
  <c r="G422" i="25" s="1"/>
  <c r="J100" i="24"/>
  <c r="F1922" i="25" s="1"/>
  <c r="I257" i="26" s="1"/>
  <c r="H424" i="25" s="1"/>
  <c r="E1922" i="25"/>
  <c r="H257" i="26" s="1"/>
  <c r="G424" i="25" s="1"/>
  <c r="I97" i="24"/>
  <c r="D1919" i="25"/>
  <c r="G254" i="26" s="1"/>
  <c r="F421" i="25" s="1"/>
  <c r="J108" i="24"/>
  <c r="F1930" i="25" s="1"/>
  <c r="I265" i="26" s="1"/>
  <c r="H432" i="25" s="1"/>
  <c r="E1930" i="25"/>
  <c r="H265" i="26" s="1"/>
  <c r="G432" i="25" s="1"/>
  <c r="J106" i="24"/>
  <c r="F1928" i="25" s="1"/>
  <c r="I263" i="26" s="1"/>
  <c r="H430" i="25" s="1"/>
  <c r="E1928" i="25"/>
  <c r="H263" i="26" s="1"/>
  <c r="G430" i="25" s="1"/>
  <c r="J107" i="24"/>
  <c r="F1929" i="25" s="1"/>
  <c r="I264" i="26" s="1"/>
  <c r="H431" i="25" s="1"/>
  <c r="E1929" i="25"/>
  <c r="H264" i="26" s="1"/>
  <c r="G431" i="25" s="1"/>
  <c r="J105" i="24"/>
  <c r="F1927" i="25" s="1"/>
  <c r="I262" i="26" s="1"/>
  <c r="H429" i="25" s="1"/>
  <c r="E1927" i="25"/>
  <c r="H262" i="26" s="1"/>
  <c r="G429" i="25" s="1"/>
  <c r="J93" i="24" l="1"/>
  <c r="F1915" i="25" s="1"/>
  <c r="I250" i="26" s="1"/>
  <c r="H417" i="25" s="1"/>
  <c r="E1915" i="25"/>
  <c r="H250" i="26" s="1"/>
  <c r="G417" i="25" s="1"/>
  <c r="J91" i="24"/>
  <c r="F1913" i="25" s="1"/>
  <c r="I248" i="26" s="1"/>
  <c r="H415" i="25" s="1"/>
  <c r="E1913" i="25"/>
  <c r="H248" i="26" s="1"/>
  <c r="G415" i="25" s="1"/>
  <c r="J103" i="24"/>
  <c r="F1925" i="25" s="1"/>
  <c r="I260" i="26" s="1"/>
  <c r="H427" i="25" s="1"/>
  <c r="E1925" i="25"/>
  <c r="H260" i="26" s="1"/>
  <c r="G427" i="25" s="1"/>
  <c r="J102" i="24"/>
  <c r="F1924" i="25" s="1"/>
  <c r="I259" i="26" s="1"/>
  <c r="H426" i="25" s="1"/>
  <c r="E1924" i="25"/>
  <c r="H259" i="26" s="1"/>
  <c r="G426" i="25" s="1"/>
  <c r="J88" i="24"/>
  <c r="F1910" i="25" s="1"/>
  <c r="I245" i="26" s="1"/>
  <c r="H412" i="25" s="1"/>
  <c r="E1910" i="25"/>
  <c r="H245" i="26" s="1"/>
  <c r="G412" i="25" s="1"/>
  <c r="J92" i="24"/>
  <c r="F1914" i="25" s="1"/>
  <c r="I249" i="26" s="1"/>
  <c r="H416" i="25" s="1"/>
  <c r="E1914" i="25"/>
  <c r="H249" i="26" s="1"/>
  <c r="G416" i="25" s="1"/>
  <c r="J104" i="24"/>
  <c r="F1926" i="25" s="1"/>
  <c r="I261" i="26" s="1"/>
  <c r="H428" i="25" s="1"/>
  <c r="E1926" i="25"/>
  <c r="H261" i="26" s="1"/>
  <c r="G428" i="25" s="1"/>
  <c r="J97" i="24"/>
  <c r="F1919" i="25" s="1"/>
  <c r="I254" i="26" s="1"/>
  <c r="H421" i="25" s="1"/>
  <c r="E1919" i="25"/>
  <c r="H254" i="26" s="1"/>
  <c r="G421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indra raj suweda</author>
  </authors>
  <commentList>
    <comment ref="H148" authorId="0" shapeId="0" xr:uid="{285C87B7-6356-4461-9592-91D687B85585}">
      <text>
        <r>
          <rPr>
            <b/>
            <sz val="9"/>
            <color indexed="81"/>
            <rFont val="Tahoma"/>
            <family val="2"/>
          </rPr>
          <t>indra raj suweda:</t>
        </r>
        <r>
          <rPr>
            <sz val="9"/>
            <color indexed="81"/>
            <rFont val="Tahoma"/>
            <family val="2"/>
          </rPr>
          <t xml:space="preserve">
Berdasarkan SNI 1726 2019 Tabel 11</t>
        </r>
      </text>
    </comment>
  </commentList>
</comments>
</file>

<file path=xl/sharedStrings.xml><?xml version="1.0" encoding="utf-8"?>
<sst xmlns="http://schemas.openxmlformats.org/spreadsheetml/2006/main" count="5220" uniqueCount="1344">
  <si>
    <t>Tebal slab lantai jembatan,</t>
  </si>
  <si>
    <r>
      <t>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</si>
  <si>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</t>
  </si>
  <si>
    <t>Tebal selimut untuk slab lantai jembatan,</t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</si>
  <si>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</si>
  <si>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mm</t>
  </si>
  <si>
    <t>Tebal lapisan aspal + overlay,</t>
  </si>
  <si>
    <r>
      <t>t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</si>
  <si>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t>Tebal genangan air hujan,</t>
  </si>
  <si>
    <r>
      <t>t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=</t>
    </r>
  </si>
  <si>
    <t>Jarak antara balok prategang,</t>
  </si>
  <si>
    <t>s =</t>
  </si>
  <si>
    <t>Lebar jalur lalu-lintas,</t>
  </si>
  <si>
    <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</t>
    </r>
  </si>
  <si>
    <t>Lebar trotoar,</t>
  </si>
  <si>
    <r>
      <t>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</si>
  <si>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t>Lebar median (pemisah jalur),</t>
  </si>
  <si>
    <r>
      <t>b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=</t>
    </r>
  </si>
  <si>
    <t>Lebar total jembatan,</t>
  </si>
  <si>
    <t>b =</t>
  </si>
  <si>
    <t>Panjang bentang jembatan,</t>
  </si>
  <si>
    <t>L =</t>
  </si>
  <si>
    <t>Elevasi permukaan struktur dari permukaan tanah,</t>
  </si>
  <si>
    <t>Z =</t>
  </si>
  <si>
    <t>Mutu beton pakai,</t>
  </si>
  <si>
    <t>Koefisien muai panjang untuk beton,</t>
  </si>
  <si>
    <r>
      <t>/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>C</t>
    </r>
  </si>
  <si>
    <t>Kuat tekan beton,</t>
  </si>
  <si>
    <t>MPa</t>
  </si>
  <si>
    <t>Diameter tulangan pakai utama,</t>
  </si>
  <si>
    <t>D =</t>
  </si>
  <si>
    <r>
      <t>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</si>
  <si>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kN/m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</si>
  <si>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W'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</si>
  <si>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Berat aspaL,</t>
  </si>
  <si>
    <r>
      <t>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</si>
  <si>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Berat jenis air,</t>
  </si>
  <si>
    <r>
      <t>W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</si>
  <si>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</si>
  <si>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kN/m</t>
  </si>
  <si>
    <t>kN</t>
  </si>
  <si>
    <t>H =</t>
  </si>
  <si>
    <t>kN.m</t>
  </si>
  <si>
    <t>fc' =</t>
  </si>
  <si>
    <t>Kode</t>
  </si>
  <si>
    <t>Lebar</t>
  </si>
  <si>
    <t>(m)</t>
  </si>
  <si>
    <t>Tebal</t>
  </si>
  <si>
    <t>b1</t>
  </si>
  <si>
    <t>b2</t>
  </si>
  <si>
    <t>b3</t>
  </si>
  <si>
    <t>b4</t>
  </si>
  <si>
    <t>b5</t>
  </si>
  <si>
    <t>b6</t>
  </si>
  <si>
    <t>h1</t>
  </si>
  <si>
    <t>h2</t>
  </si>
  <si>
    <t>h3</t>
  </si>
  <si>
    <t>h4</t>
  </si>
  <si>
    <t>h5</t>
  </si>
  <si>
    <t>h6</t>
  </si>
  <si>
    <t>h</t>
  </si>
  <si>
    <t>Mpa</t>
  </si>
  <si>
    <t>Tegangan ijin tekan,</t>
  </si>
  <si>
    <t>Tegangan ijin tarik,</t>
  </si>
  <si>
    <t>0,6 * fci =</t>
  </si>
  <si>
    <t>Tegangan ijin beton pada keadaan akhir :</t>
  </si>
  <si>
    <t>0,45 * fc' =</t>
  </si>
  <si>
    <t>DATA STRANDS CABLE - STANDAR VSL</t>
  </si>
  <si>
    <t>Jenis strands</t>
  </si>
  <si>
    <t>Uncoated 7 wire super strands ASTM A-416 grade 270</t>
  </si>
  <si>
    <t>:</t>
  </si>
  <si>
    <t>Nilai lebar efektif slab lantai beton,</t>
  </si>
  <si>
    <t>Syarat 1 :</t>
  </si>
  <si>
    <t>Syarat 3 :</t>
  </si>
  <si>
    <t>Syarat 2 :</t>
  </si>
  <si>
    <t>Syarat nilai lebar efektif slab lantai beton,</t>
  </si>
  <si>
    <t>Modulus elastik plat beton,</t>
  </si>
  <si>
    <t>Modulus elastik balok beton prategang,</t>
  </si>
  <si>
    <t>Nilai perbandingan modulus elastik plat dan balok,</t>
  </si>
  <si>
    <t>Lebar pengganti beton plat lantai jembatan,</t>
  </si>
  <si>
    <r>
      <t>E</t>
    </r>
    <r>
      <rPr>
        <vertAlign val="subscript"/>
        <sz val="11"/>
        <color theme="1"/>
        <rFont val="Calibri"/>
        <family val="2"/>
        <scheme val="minor"/>
      </rPr>
      <t>c-balok</t>
    </r>
    <r>
      <rPr>
        <sz val="11"/>
        <color theme="1"/>
        <rFont val="Calibri"/>
        <family val="2"/>
        <charset val="1"/>
        <scheme val="minor"/>
      </rPr>
      <t xml:space="preserve"> = 0,043 *(w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1,5</t>
    </r>
    <r>
      <rPr>
        <sz val="11"/>
        <color theme="1"/>
        <rFont val="Calibri"/>
        <family val="2"/>
        <charset val="1"/>
        <scheme val="minor"/>
      </rPr>
      <t xml:space="preserve"> * 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charset val="1"/>
        <scheme val="minor"/>
      </rPr>
      <t xml:space="preserve"> fc'</t>
    </r>
    <r>
      <rPr>
        <vertAlign val="subscript"/>
        <sz val="11"/>
        <color theme="1"/>
        <rFont val="Calibri"/>
        <family val="2"/>
        <scheme val="minor"/>
      </rPr>
      <t xml:space="preserve"> (balok)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</si>
  <si>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c-plat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</si>
  <si>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 = E</t>
    </r>
    <r>
      <rPr>
        <vertAlign val="subscript"/>
        <sz val="11"/>
        <color theme="1"/>
        <rFont val="Calibri"/>
        <family val="2"/>
        <scheme val="minor"/>
      </rPr>
      <t>c-plat</t>
    </r>
    <r>
      <rPr>
        <sz val="11"/>
        <color theme="1"/>
        <rFont val="Calibri"/>
        <family val="2"/>
        <charset val="1"/>
        <scheme val="minor"/>
      </rPr>
      <t xml:space="preserve"> / E</t>
    </r>
    <r>
      <rPr>
        <vertAlign val="subscript"/>
        <sz val="11"/>
        <color theme="1"/>
        <rFont val="Calibri"/>
        <family val="2"/>
        <scheme val="minor"/>
      </rPr>
      <t>c-balok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</si>
  <si>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= n * B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=</t>
    </r>
  </si>
  <si>
    <t>Dimensi</t>
  </si>
  <si>
    <t xml:space="preserve">Lebar </t>
  </si>
  <si>
    <t>b</t>
  </si>
  <si>
    <t>Tinggi</t>
  </si>
  <si>
    <t>Luas Tampang</t>
  </si>
  <si>
    <t>A</t>
  </si>
  <si>
    <t>Jarak thd alas</t>
  </si>
  <si>
    <t>y</t>
  </si>
  <si>
    <t>Statis Momen</t>
  </si>
  <si>
    <t>A * y</t>
  </si>
  <si>
    <t>Inersia Momen</t>
  </si>
  <si>
    <t>Io</t>
  </si>
  <si>
    <t>Total :</t>
  </si>
  <si>
    <r>
      <t>A * y</t>
    </r>
    <r>
      <rPr>
        <b/>
        <vertAlign val="superscript"/>
        <sz val="11"/>
        <color theme="1"/>
        <rFont val="Calibri Light"/>
        <family val="2"/>
        <scheme val="major"/>
      </rPr>
      <t>2</t>
    </r>
  </si>
  <si>
    <r>
      <t>(m</t>
    </r>
    <r>
      <rPr>
        <b/>
        <vertAlign val="superscript"/>
        <sz val="11"/>
        <color theme="1"/>
        <rFont val="Calibri Light"/>
        <family val="2"/>
        <scheme val="major"/>
      </rPr>
      <t>2</t>
    </r>
    <r>
      <rPr>
        <b/>
        <sz val="11"/>
        <color theme="1"/>
        <rFont val="Calibri Light"/>
        <family val="2"/>
        <scheme val="major"/>
      </rPr>
      <t>)</t>
    </r>
  </si>
  <si>
    <r>
      <t>(m</t>
    </r>
    <r>
      <rPr>
        <b/>
        <vertAlign val="superscript"/>
        <sz val="11"/>
        <color theme="1"/>
        <rFont val="Calibri Light"/>
        <family val="2"/>
        <scheme val="major"/>
      </rPr>
      <t>3</t>
    </r>
    <r>
      <rPr>
        <b/>
        <sz val="11"/>
        <color theme="1"/>
        <rFont val="Calibri Light"/>
        <family val="2"/>
        <scheme val="major"/>
      </rPr>
      <t>)</t>
    </r>
  </si>
  <si>
    <r>
      <t>(m</t>
    </r>
    <r>
      <rPr>
        <b/>
        <vertAlign val="superscript"/>
        <sz val="11"/>
        <color theme="1"/>
        <rFont val="Calibri Light"/>
        <family val="2"/>
        <scheme val="major"/>
      </rPr>
      <t>4</t>
    </r>
    <r>
      <rPr>
        <b/>
        <sz val="11"/>
        <color theme="1"/>
        <rFont val="Calibri Light"/>
        <family val="2"/>
        <scheme val="major"/>
      </rPr>
      <t>)</t>
    </r>
  </si>
  <si>
    <t>Tinggi total balok prategang,</t>
  </si>
  <si>
    <t>Luas penampang balok prategang,</t>
  </si>
  <si>
    <t>Letak titik berat,</t>
  </si>
  <si>
    <t>Momen inersia terhadap titik berat balok,</t>
  </si>
  <si>
    <t>Tahanan momen sisi atas,</t>
  </si>
  <si>
    <t>Tahanan momen sisi bawah,</t>
  </si>
  <si>
    <t>h =</t>
  </si>
  <si>
    <t>A =</t>
  </si>
  <si>
    <r>
      <t>y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 h -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</si>
  <si>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</si>
  <si>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</si>
  <si>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 xml:space="preserve">Ʃ ( </t>
    </r>
    <r>
      <rPr>
        <sz val="11"/>
        <color theme="1"/>
        <rFont val="Calibri"/>
        <family val="2"/>
        <charset val="1"/>
        <scheme val="minor"/>
      </rPr>
      <t xml:space="preserve">A * y ) /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  <scheme val="minor"/>
      </rPr>
      <t>A =</t>
    </r>
  </si>
  <si>
    <t>Tinggi total balok Composit,</t>
  </si>
  <si>
    <t>Luas penampang balok composit,</t>
  </si>
  <si>
    <t>Momen inesia terhadap titik berat balok composit,</t>
  </si>
  <si>
    <t>Tahanan momen sisi atas plat,</t>
  </si>
  <si>
    <t>Tahanan momen sisi atas balok,</t>
  </si>
  <si>
    <t>Tahanan momen sisi bawah balok,</t>
  </si>
  <si>
    <r>
      <t>h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</si>
  <si>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</si>
  <si>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 xml:space="preserve">Ʃ ( </t>
    </r>
    <r>
      <rPr>
        <sz val="11"/>
        <color theme="1"/>
        <rFont val="Calibri"/>
        <family val="2"/>
        <charset val="1"/>
        <scheme val="minor"/>
      </rPr>
      <t>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y ) /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  <scheme val="minor"/>
      </rPr>
      <t>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</si>
  <si>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charset val="1"/>
        <scheme val="minor"/>
      </rPr>
      <t xml:space="preserve"> = h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- y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</si>
  <si>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I</t>
    </r>
    <r>
      <rPr>
        <b/>
        <vertAlign val="subscript"/>
        <sz val="11"/>
        <color theme="1"/>
        <rFont val="Calibri Light"/>
        <family val="2"/>
        <scheme val="major"/>
      </rPr>
      <t>co</t>
    </r>
  </si>
  <si>
    <r>
      <t>W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charset val="1"/>
        <scheme val="minor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</si>
  <si>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charset val="1"/>
        <scheme val="minor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charset val="1"/>
        <scheme val="minor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</si>
  <si>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W'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charset val="1"/>
        <scheme val="minor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charset val="1"/>
        <scheme val="minor"/>
      </rPr>
      <t xml:space="preserve"> / ( y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charset val="1"/>
        <scheme val="minor"/>
      </rPr>
      <t xml:space="preserve"> - 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) =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</si>
  <si>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</si>
  <si>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scheme val="minor"/>
      </rPr>
      <t>4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</si>
  <si>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</si>
  <si>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charset val="1"/>
        <scheme val="minor"/>
      </rPr>
      <t>I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-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</rPr>
      <t xml:space="preserve"> ( </t>
    </r>
    <r>
      <rPr>
        <sz val="11"/>
        <color theme="1"/>
        <rFont val="Calibri"/>
        <family val="2"/>
        <charset val="1"/>
        <scheme val="minor"/>
      </rPr>
      <t>A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charset val="1"/>
        <scheme val="minor"/>
      </rPr>
      <t xml:space="preserve"> * (y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- y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) =</t>
    </r>
  </si>
  <si>
    <r>
      <t>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charset val="1"/>
        <scheme val="minor"/>
      </rPr>
      <t xml:space="preserve"> = I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- 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</rPr>
      <t xml:space="preserve"> ( </t>
    </r>
    <r>
      <rPr>
        <sz val="11"/>
        <color theme="1"/>
        <rFont val="Calibri"/>
        <family val="2"/>
        <charset val="1"/>
        <scheme val="minor"/>
      </rPr>
      <t>An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( y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scheme val="minor"/>
      </rPr>
      <t xml:space="preserve"> - y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) =</t>
    </r>
  </si>
  <si>
    <t>n =</t>
  </si>
  <si>
    <t>bh</t>
  </si>
  <si>
    <t>Kuat tekan beton pada kondisi awal (saat transfer),</t>
  </si>
  <si>
    <t>kPa</t>
  </si>
  <si>
    <r>
      <t>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</si>
  <si>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Kuat tekan beton balok prategang,</t>
  </si>
  <si>
    <t>Eksentrisitas tendon,</t>
  </si>
  <si>
    <t>Momen akibat berat sendiri balok,</t>
  </si>
  <si>
    <t>Persamaan batas tegangan,</t>
  </si>
  <si>
    <t>Tegangan di serat atas,</t>
  </si>
  <si>
    <t>Tegangan di serat bawah,</t>
  </si>
  <si>
    <t>Besarnya gaya prategang awal,</t>
  </si>
  <si>
    <t>Dari persamaan (1) :</t>
  </si>
  <si>
    <t>Dari persamaan (2) :</t>
  </si>
  <si>
    <r>
      <t>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</si>
  <si>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ci</t>
    </r>
    <r>
      <rPr>
        <sz val="11"/>
        <color theme="1"/>
        <rFont val="Calibri"/>
        <family val="2"/>
        <charset val="1"/>
        <scheme val="minor"/>
      </rPr>
      <t xml:space="preserve"> = 0,80 * fc' =</t>
    </r>
  </si>
  <si>
    <r>
      <t>z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</si>
  <si>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- z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</si>
  <si>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</si>
  <si>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0 = - 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/ A + 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</si>
  <si>
    <r>
      <t>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/ (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-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/ A ) =</t>
    </r>
  </si>
  <si>
    <r>
      <t>-0,6 * f</t>
    </r>
    <r>
      <rPr>
        <vertAlign val="subscript"/>
        <sz val="11"/>
        <color theme="1"/>
        <rFont val="Calibri"/>
        <family val="2"/>
        <scheme val="minor"/>
      </rPr>
      <t>ci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/ A - 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</si>
  <si>
    <r>
      <t>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 [ 0,60 * f</t>
    </r>
    <r>
      <rPr>
        <vertAlign val="subscript"/>
        <sz val="11"/>
        <color theme="1"/>
        <rFont val="Calibri"/>
        <family val="2"/>
        <scheme val="minor"/>
      </rPr>
      <t>ci</t>
    </r>
    <r>
      <rPr>
        <sz val="11"/>
        <color theme="1"/>
        <rFont val="Calibri"/>
        <family val="2"/>
        <charset val="1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] / (W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/ A +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>) =</t>
    </r>
  </si>
  <si>
    <r>
      <t>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</si>
  <si>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Beban putus minimal satu strand,</t>
  </si>
  <si>
    <t>tendon</t>
  </si>
  <si>
    <t>Jumlah strands perlu,</t>
  </si>
  <si>
    <r>
      <t>P</t>
    </r>
    <r>
      <rPr>
        <vertAlign val="subscript"/>
        <sz val="11"/>
        <color theme="1"/>
        <rFont val="Calibri"/>
        <family val="2"/>
        <scheme val="minor"/>
      </rPr>
      <t>bs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</si>
  <si>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strands</t>
  </si>
  <si>
    <t>Digunakan jumlah strands,</t>
  </si>
  <si>
    <r>
      <t>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</si>
  <si>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Persentase tegangan leleh yang timbul pada baja ( % Jacking Force ),</t>
  </si>
  <si>
    <t>Gaya prategang yang terjadi akibat jacking,</t>
  </si>
  <si>
    <t>Perkiraan kehilangan tegangan ( loss of prestress ),</t>
  </si>
  <si>
    <t>loss =</t>
  </si>
  <si>
    <t>Gaya prategang akhir setelah kehilangan tegangan ( loss of prestress ),</t>
  </si>
  <si>
    <r>
      <t>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= 70% *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=</t>
    </r>
  </si>
  <si>
    <t>Diameter tulangan arah memanjang,</t>
  </si>
  <si>
    <t>Luas tulangan bagian bawah,</t>
  </si>
  <si>
    <t>luas tulangan arah memanjang per bar,</t>
  </si>
  <si>
    <t>Luas tampang bagian bawah,</t>
  </si>
  <si>
    <t>Jumlah tulangan perlu :</t>
  </si>
  <si>
    <t>Luas tampang bagian atas ,</t>
  </si>
  <si>
    <t>Luas tulangan bagian atas,</t>
  </si>
  <si>
    <t>Luas tampang bagian badan,</t>
  </si>
  <si>
    <t>Luas tulangan bagian badan,</t>
  </si>
  <si>
    <t>D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</si>
  <si>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</si>
  <si>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A</t>
    </r>
    <r>
      <rPr>
        <vertAlign val="subscript"/>
        <sz val="11"/>
        <color theme="1"/>
        <rFont val="Calibri"/>
        <family val="2"/>
        <scheme val="minor"/>
      </rPr>
      <t>bawah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</si>
  <si>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bawah</t>
    </r>
    <r>
      <rPr>
        <sz val="11"/>
        <color theme="1"/>
        <rFont val="Calibri"/>
        <family val="2"/>
        <charset val="1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s bawah</t>
    </r>
    <r>
      <rPr>
        <sz val="11"/>
        <color theme="1"/>
        <rFont val="Calibri"/>
        <family val="2"/>
        <charset val="1"/>
        <scheme val="minor"/>
      </rPr>
      <t xml:space="preserve"> / (  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charset val="1"/>
        <scheme val="minor"/>
      </rPr>
      <t>/ 4 * 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) =</t>
    </r>
  </si>
  <si>
    <r>
      <t>A</t>
    </r>
    <r>
      <rPr>
        <vertAlign val="subscript"/>
        <sz val="11"/>
        <color theme="1"/>
        <rFont val="Calibri"/>
        <family val="2"/>
        <scheme val="minor"/>
      </rPr>
      <t>atas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</si>
  <si>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atas</t>
    </r>
    <r>
      <rPr>
        <sz val="11"/>
        <color theme="1"/>
        <rFont val="Calibri"/>
        <family val="2"/>
        <charset val="1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s atas</t>
    </r>
    <r>
      <rPr>
        <sz val="11"/>
        <color theme="1"/>
        <rFont val="Calibri"/>
        <family val="2"/>
        <charset val="1"/>
        <scheme val="minor"/>
      </rPr>
      <t xml:space="preserve"> / (  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charset val="1"/>
        <scheme val="minor"/>
      </rPr>
      <t>/ 4 * 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) =</t>
    </r>
  </si>
  <si>
    <r>
      <t>A</t>
    </r>
    <r>
      <rPr>
        <vertAlign val="subscript"/>
        <sz val="11"/>
        <color theme="1"/>
        <rFont val="Calibri"/>
        <family val="2"/>
        <scheme val="minor"/>
      </rPr>
      <t>badan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</si>
  <si>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badan</t>
    </r>
    <r>
      <rPr>
        <sz val="11"/>
        <color theme="1"/>
        <rFont val="Calibri"/>
        <family val="2"/>
        <charset val="1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s badan</t>
    </r>
    <r>
      <rPr>
        <sz val="11"/>
        <color theme="1"/>
        <rFont val="Calibri"/>
        <family val="2"/>
        <charset val="1"/>
        <scheme val="minor"/>
      </rPr>
      <t xml:space="preserve"> / (  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charset val="1"/>
        <scheme val="minor"/>
      </rPr>
      <t>/ 4 * 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) =</t>
    </r>
  </si>
  <si>
    <t>a =</t>
  </si>
  <si>
    <t>Perkiraan jarak dari alas balok ke as baris tendon ke-1,</t>
  </si>
  <si>
    <t>Jumlah tendon baris ke-1 :</t>
  </si>
  <si>
    <t>Jumlah tendon baris ke-2 :</t>
  </si>
  <si>
    <t>Strands</t>
  </si>
  <si>
    <t>Eksentrisitas tendon di tengah bentang,</t>
  </si>
  <si>
    <t>Jarak titik berat tendon terhadap alas balok,</t>
  </si>
  <si>
    <t>Jarak vertikal antara as ke as tendon,</t>
  </si>
  <si>
    <t>Diameter selubung tendon,</t>
  </si>
  <si>
    <t>Jarak bersih vertikal antara selubung tendon,</t>
  </si>
  <si>
    <t>Letak titik berat penampang balok terhadap alas,</t>
  </si>
  <si>
    <t>Momen statis tendon terhadap pusat tendon terbawah :</t>
  </si>
  <si>
    <t>Letak titik berat tendon terhadap pusat tendon terbawah,</t>
  </si>
  <si>
    <t>Perbandingan jarak titik berat tendon dengan jarak antar tendon,</t>
  </si>
  <si>
    <t>Jarak antar tendon,</t>
  </si>
  <si>
    <t>Nomer Tendon</t>
  </si>
  <si>
    <t>Posisi Tendon di Tumpuan</t>
  </si>
  <si>
    <t>a' =</t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</si>
  <si>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</si>
  <si>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Persamaan lintasan tendon :</t>
  </si>
  <si>
    <r>
      <t>Y = 4 * f * X /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* (L - X)</t>
    </r>
  </si>
  <si>
    <t>X</t>
  </si>
  <si>
    <t>Y</t>
  </si>
  <si>
    <r>
      <t>x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</si>
  <si>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</si>
  <si>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L/2 + x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</si>
  <si>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+ e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</si>
  <si>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_x0002_ AB = 2*(e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+ e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>)/(L/2 + x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>) =</t>
    </r>
  </si>
  <si>
    <r>
      <t>_x0002_ BC = 2*(e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+ e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>)/(L/2 + x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>) =</t>
    </r>
  </si>
  <si>
    <t>Persamaan lintasan tendon,</t>
  </si>
  <si>
    <t>Untuk X = 0 (posisi angkur di tumpuan), maka</t>
  </si>
  <si>
    <t>Persamaan sudut angkur,</t>
  </si>
  <si>
    <r>
      <t>Y = 4 * f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"/>
        <scheme val="minor"/>
      </rPr>
      <t>* X /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* (L - X)</t>
    </r>
  </si>
  <si>
    <r>
      <t>dY/dX = 4 * f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/ L</t>
    </r>
  </si>
  <si>
    <t>No. Tendon</t>
  </si>
  <si>
    <t>Jumlah Strands</t>
  </si>
  <si>
    <t>Diameter Selubung</t>
  </si>
  <si>
    <t>Eksentrisitas (fi)</t>
  </si>
  <si>
    <t>dy/dX</t>
  </si>
  <si>
    <t>Rad</t>
  </si>
  <si>
    <t>Deg</t>
  </si>
  <si>
    <t>Panjang fokus tengah bentang,</t>
  </si>
  <si>
    <t>Letak titik berat dari serat bawah,</t>
  </si>
  <si>
    <t>Panjang fokus masing-masing tendon,</t>
  </si>
  <si>
    <t>Posisi masing-masing cable :</t>
  </si>
  <si>
    <r>
      <t>z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= z</t>
    </r>
    <r>
      <rPr>
        <vertAlign val="subscript"/>
        <sz val="11"/>
        <color theme="1"/>
        <rFont val="Calibri"/>
        <family val="2"/>
        <scheme val="minor"/>
      </rPr>
      <t>i'</t>
    </r>
    <r>
      <rPr>
        <sz val="11"/>
        <color theme="1"/>
        <rFont val="Calibri"/>
        <family val="2"/>
        <charset val="1"/>
        <scheme val="minor"/>
      </rPr>
      <t xml:space="preserve"> - 4 * f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* X /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* (L - X)</t>
    </r>
  </si>
  <si>
    <t>Jarak X</t>
  </si>
  <si>
    <t>Trace</t>
  </si>
  <si>
    <t>Posisi masing-masing cable</t>
  </si>
  <si>
    <t>Gaya prategang akibat jacking (jacking force),</t>
  </si>
  <si>
    <t>Asumsi persentase kehilangan gaya akibat gesekan angkur,</t>
  </si>
  <si>
    <t>Loss =</t>
  </si>
  <si>
    <t>Pj =</t>
  </si>
  <si>
    <t>Gaya prategang setelah kehilangan gaya akibat gesekan angkur</t>
  </si>
  <si>
    <t>Sudut lintasan tendon dari ujung ke tengah,</t>
  </si>
  <si>
    <t>Perubahan sudut total lintasan tendon,</t>
  </si>
  <si>
    <t>Nilai koefisien gesek,</t>
  </si>
  <si>
    <t>Nilai koefisien Wobble,</t>
  </si>
  <si>
    <t>Loss of prestress akibat gesekan kabel,</t>
  </si>
  <si>
    <r>
      <t>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</si>
  <si>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</si>
  <si>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</si>
  <si>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</si>
  <si>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 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</si>
  <si>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 =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E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</si>
  <si>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 xml:space="preserve">i = 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charset val="1"/>
        <scheme val="minor"/>
      </rPr>
      <t xml:space="preserve"> (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/ A ) =</t>
    </r>
  </si>
  <si>
    <t>μ =</t>
  </si>
  <si>
    <r>
      <t>_x0002_</t>
    </r>
    <r>
      <rPr>
        <sz val="11"/>
        <color theme="1"/>
        <rFont val="Calibri"/>
        <family val="2"/>
      </rPr>
      <t>α</t>
    </r>
    <r>
      <rPr>
        <vertAlign val="subscript"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</si>
  <si>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_x0002_</t>
    </r>
    <r>
      <rPr>
        <sz val="11"/>
        <color theme="1"/>
        <rFont val="Calibri"/>
        <family val="2"/>
      </rPr>
      <t>α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=</t>
    </r>
  </si>
  <si>
    <t>rad</t>
  </si>
  <si>
    <r>
      <t>α</t>
    </r>
    <r>
      <rPr>
        <sz val="11"/>
        <color theme="1"/>
        <rFont val="Calibri"/>
        <family val="2"/>
        <charset val="1"/>
      </rPr>
      <t xml:space="preserve"> = </t>
    </r>
    <r>
      <rPr>
        <sz val="11"/>
        <color theme="1"/>
        <rFont val="Calibri"/>
        <family val="2"/>
      </rPr>
      <t>α</t>
    </r>
    <r>
      <rPr>
        <vertAlign val="subscript"/>
        <sz val="11"/>
        <color theme="1"/>
        <rFont val="Calibri"/>
        <family val="2"/>
      </rPr>
      <t>AB</t>
    </r>
    <r>
      <rPr>
        <sz val="11"/>
        <color theme="1"/>
        <rFont val="Calibri"/>
        <family val="2"/>
        <charset val="1"/>
      </rPr>
      <t xml:space="preserve"> + α</t>
    </r>
    <r>
      <rPr>
        <vertAlign val="subscript"/>
        <sz val="11"/>
        <color theme="1"/>
        <rFont val="Calibri"/>
        <family val="2"/>
      </rPr>
      <t>BC</t>
    </r>
    <r>
      <rPr>
        <sz val="11"/>
        <color theme="1"/>
        <rFont val="Calibri"/>
        <family val="2"/>
      </rPr>
      <t xml:space="preserve"> =</t>
    </r>
  </si>
  <si>
    <t>Koefisien elastis,</t>
  </si>
  <si>
    <t>Jarak titik berat tendon baja terhadap ttk berat tampang balok,</t>
  </si>
  <si>
    <t>Momen inersia tampang balok beton,</t>
  </si>
  <si>
    <t>Luas tampang balok beton,</t>
  </si>
  <si>
    <t>Modulus elastis baja prategang (strand),</t>
  </si>
  <si>
    <t>Jumlah total strands,</t>
  </si>
  <si>
    <t>Luas tampang nominal satu strands,</t>
  </si>
  <si>
    <t>Beban putus satu strands,</t>
  </si>
  <si>
    <t>Luas tampang tendon baja prategang,</t>
  </si>
  <si>
    <t>Modulus ratio antara baja prategang dengan balok beton,</t>
  </si>
  <si>
    <t>Jari-jari inersia penampang balok beton,</t>
  </si>
  <si>
    <t>Tegangan baja prategang sebelum loss of prestresss (di tengah bentang),</t>
  </si>
  <si>
    <t>Kehilangan tegangan pada baja oleh regangan elastik dengan memperhitungkan pengaruh berat sendiri</t>
  </si>
  <si>
    <t>Tegangan beton pada level bajanya oleh pengaruh gaya prategang Pt</t>
  </si>
  <si>
    <t>Kehilangan tegangan pada baja oleh regangan elastik tanpa pengaruh berat sendiri</t>
  </si>
  <si>
    <t>Kehilangan prategang akibat pemendekan elastis,</t>
  </si>
  <si>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  <scheme val="minor"/>
      </rPr>
      <t>pi</t>
    </r>
    <r>
      <rPr>
        <sz val="11"/>
        <color theme="1"/>
        <rFont val="Calibri"/>
        <family val="2"/>
        <charset val="1"/>
        <scheme val="minor"/>
      </rPr>
      <t xml:space="preserve"> = 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P</t>
    </r>
    <r>
      <rPr>
        <vertAlign val="subscript"/>
        <sz val="11"/>
        <color theme="1"/>
        <rFont val="Calibri"/>
        <family val="2"/>
        <scheme val="minor"/>
      </rPr>
      <t>bs</t>
    </r>
    <r>
      <rPr>
        <sz val="11"/>
        <color theme="1"/>
        <rFont val="Calibri"/>
        <family val="2"/>
        <charset val="1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</si>
  <si>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rPr>
        <sz val="11"/>
        <color theme="1"/>
        <rFont val="Calibri"/>
        <family val="2"/>
      </rPr>
      <t>Δσ</t>
    </r>
    <r>
      <rPr>
        <vertAlign val="subscript"/>
        <sz val="11"/>
        <color theme="1"/>
        <rFont val="Calibri"/>
        <family val="2"/>
        <scheme val="minor"/>
      </rPr>
      <t>pe'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  <scheme val="minor"/>
      </rPr>
      <t>pi</t>
    </r>
    <r>
      <rPr>
        <sz val="11"/>
        <color theme="1"/>
        <rFont val="Calibri"/>
        <family val="2"/>
        <charset val="1"/>
        <scheme val="minor"/>
      </rPr>
      <t xml:space="preserve"> * n * K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/ (1 + n * K</t>
    </r>
    <r>
      <rPr>
        <vertAlign val="sub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charset val="1"/>
        <scheme val="minor"/>
      </rPr>
      <t>) =</t>
    </r>
  </si>
  <si>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  <scheme val="minor"/>
      </rPr>
      <t>bt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>Δσ</t>
    </r>
    <r>
      <rPr>
        <vertAlign val="subscript"/>
        <sz val="11"/>
        <color theme="1"/>
        <rFont val="Calibri"/>
        <family val="2"/>
        <scheme val="minor"/>
      </rPr>
      <t>pe'</t>
    </r>
    <r>
      <rPr>
        <sz val="11"/>
        <color theme="1"/>
        <rFont val="Calibri"/>
        <family val="2"/>
        <charset val="1"/>
        <scheme val="minor"/>
      </rPr>
      <t xml:space="preserve"> / n -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*e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</si>
  <si>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rPr>
        <sz val="11"/>
        <color theme="1"/>
        <rFont val="Calibri"/>
        <family val="2"/>
      </rPr>
      <t>Δσ</t>
    </r>
    <r>
      <rPr>
        <vertAlign val="subscript"/>
        <sz val="11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charset val="1"/>
        <scheme val="minor"/>
      </rPr>
      <t xml:space="preserve"> = 1/2 * n * </t>
    </r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  <scheme val="minor"/>
      </rPr>
      <t>bt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</si>
  <si>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Panjang tarik masuk, diambil 2 mm,</t>
  </si>
  <si>
    <t>Modulus elastis baja prategang,</t>
  </si>
  <si>
    <t>Loss of prestress akibat gesekan angkur,</t>
  </si>
  <si>
    <t>Loss of prestress akibat gesekan cable,</t>
  </si>
  <si>
    <t>Jarak dari ujung sampai tengah bentang balok,</t>
  </si>
  <si>
    <t>Kemiringan diagram gaya,</t>
  </si>
  <si>
    <t>Jarak pengaruh kritis slip angkur dr ujung,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</si>
  <si>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"/>
        <scheme val="minor"/>
      </rPr>
      <t>L =</t>
    </r>
  </si>
  <si>
    <r>
      <t>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</si>
  <si>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</si>
  <si>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</si>
  <si>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</si>
  <si>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 xml:space="preserve">m = tan </t>
    </r>
    <r>
      <rPr>
        <sz val="11"/>
        <color theme="1"/>
        <rFont val="Calibri"/>
        <family val="2"/>
      </rPr>
      <t>ω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charset val="1"/>
        <scheme val="minor"/>
      </rPr>
      <t>= ( 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- P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) / 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</si>
  <si>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charset val="1"/>
        <scheme val="minor"/>
      </rPr>
      <t xml:space="preserve"> (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"/>
        <scheme val="minor"/>
      </rPr>
      <t>L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/ m ) =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</si>
  <si>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"/>
        <scheme val="minor"/>
      </rPr>
      <t>P = 2 * L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charset val="1"/>
        <scheme val="minor"/>
      </rPr>
      <t xml:space="preserve"> * tan </t>
    </r>
    <r>
      <rPr>
        <sz val="11"/>
        <color theme="1"/>
        <rFont val="Calibri"/>
        <family val="2"/>
      </rPr>
      <t>ω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</si>
  <si>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P'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-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"/>
        <scheme val="minor"/>
      </rPr>
      <t>P / 2 =</t>
    </r>
  </si>
  <si>
    <t>modulus elastisitas beton saat transfer gaya prategang,</t>
  </si>
  <si>
    <t>Kehilangan gaya prategang akibat angkur,</t>
  </si>
  <si>
    <t>Sisa gaya prategang setelah pengangkuran,</t>
  </si>
  <si>
    <r>
      <t>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=</t>
    </r>
  </si>
  <si>
    <t>Tegangan beton akibat momen berat sendiri yang bekerja setelah diberi gaya pretegang,</t>
  </si>
  <si>
    <r>
      <t>P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</si>
  <si>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sz val="11"/>
        <color theme="1"/>
        <rFont val="Calibri"/>
        <family val="2"/>
        <charset val="1"/>
      </rPr>
      <t xml:space="preserve"> =</t>
    </r>
  </si>
  <si>
    <t>koefisien rangkak maksimum,</t>
  </si>
  <si>
    <t>waktu setelah pembebanan,</t>
  </si>
  <si>
    <t>t =</t>
  </si>
  <si>
    <r>
      <t xml:space="preserve"> φ</t>
    </r>
    <r>
      <rPr>
        <vertAlign val="subscript"/>
        <sz val="11"/>
        <color theme="1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charset val="1"/>
        <scheme val="minor"/>
      </rPr>
      <t>t) = (t</t>
    </r>
    <r>
      <rPr>
        <vertAlign val="superscript"/>
        <sz val="11"/>
        <color theme="1"/>
        <rFont val="Calibri"/>
        <family val="2"/>
        <scheme val="minor"/>
      </rPr>
      <t>0,6</t>
    </r>
    <r>
      <rPr>
        <sz val="11"/>
        <color theme="1"/>
        <rFont val="Calibri"/>
        <family val="2"/>
        <charset val="1"/>
        <scheme val="minor"/>
      </rPr>
      <t xml:space="preserve"> / ( 10 + t</t>
    </r>
    <r>
      <rPr>
        <vertAlign val="superscript"/>
        <sz val="11"/>
        <color theme="1"/>
        <rFont val="Calibri"/>
        <family val="2"/>
        <scheme val="minor"/>
      </rPr>
      <t>0,6</t>
    </r>
    <r>
      <rPr>
        <sz val="11"/>
        <color theme="1"/>
        <rFont val="Calibri"/>
        <family val="2"/>
        <charset val="1"/>
        <scheme val="minor"/>
      </rPr>
      <t>) ) * C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</si>
  <si>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Modulus elatis balok beton saat transfer,</t>
  </si>
  <si>
    <t>Koef. susut maksimum</t>
  </si>
  <si>
    <t>nilai susut maksimum beton</t>
  </si>
  <si>
    <t>nilai regangan susut beton pada umur t hari,</t>
  </si>
  <si>
    <t>Koefisien rangkak beton pada t hari,</t>
  </si>
  <si>
    <r>
      <t>ε</t>
    </r>
    <r>
      <rPr>
        <vertAlign val="subscript"/>
        <sz val="11"/>
        <color theme="1"/>
        <rFont val="Calibri"/>
        <family val="2"/>
      </rPr>
      <t>cs.u</t>
    </r>
    <r>
      <rPr>
        <sz val="11"/>
        <color theme="1"/>
        <rFont val="Calibri"/>
        <family val="2"/>
        <charset val="1"/>
      </rPr>
      <t xml:space="preserve"> = 780 * 10</t>
    </r>
    <r>
      <rPr>
        <vertAlign val="superscript"/>
        <sz val="11"/>
        <color theme="1"/>
        <rFont val="Calibri"/>
        <family val="2"/>
      </rPr>
      <t>-6</t>
    </r>
    <r>
      <rPr>
        <sz val="11"/>
        <color theme="1"/>
        <rFont val="Calibri"/>
        <family val="2"/>
        <charset val="1"/>
      </rPr>
      <t xml:space="preserve"> * </t>
    </r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Calibri"/>
        <family val="2"/>
      </rPr>
      <t>cs</t>
    </r>
    <r>
      <rPr>
        <sz val="11"/>
        <color theme="1"/>
        <rFont val="Calibri"/>
        <family val="2"/>
        <charset val="1"/>
      </rPr>
      <t xml:space="preserve"> =</t>
    </r>
  </si>
  <si>
    <r>
      <t>ε</t>
    </r>
    <r>
      <rPr>
        <vertAlign val="subscript"/>
        <sz val="11"/>
        <color theme="1"/>
        <rFont val="Calibri"/>
        <family val="2"/>
      </rPr>
      <t>cs.t</t>
    </r>
    <r>
      <rPr>
        <sz val="11"/>
        <color theme="1"/>
        <rFont val="Calibri"/>
        <family val="2"/>
        <charset val="1"/>
      </rPr>
      <t xml:space="preserve"> = ( t / (35 + t) ) * </t>
    </r>
    <r>
      <rPr>
        <sz val="11"/>
        <color theme="1"/>
        <rFont val="Calibri"/>
        <family val="2"/>
      </rPr>
      <t>ε</t>
    </r>
    <r>
      <rPr>
        <vertAlign val="subscript"/>
        <sz val="11"/>
        <color theme="1"/>
        <rFont val="Calibri"/>
        <family val="2"/>
      </rPr>
      <t>cs.u</t>
    </r>
    <r>
      <rPr>
        <sz val="11"/>
        <color theme="1"/>
        <rFont val="Calibri"/>
        <family val="2"/>
        <charset val="1"/>
      </rPr>
      <t xml:space="preserve"> =</t>
    </r>
  </si>
  <si>
    <r>
      <t>SH = 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* </t>
    </r>
    <r>
      <rPr>
        <sz val="11"/>
        <color theme="1"/>
        <rFont val="Calibri"/>
        <family val="2"/>
      </rPr>
      <t>ε</t>
    </r>
    <r>
      <rPr>
        <vertAlign val="subscript"/>
        <sz val="11"/>
        <color theme="1"/>
        <rFont val="Calibri"/>
        <family val="2"/>
      </rPr>
      <t>cs.t</t>
    </r>
    <r>
      <rPr>
        <sz val="11"/>
        <color theme="1"/>
        <rFont val="Calibri"/>
        <family val="2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</si>
  <si>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Kehilangan gaya prategang akibat rangkak,</t>
  </si>
  <si>
    <t>Kehilangan gaya prategang akibat susut,</t>
  </si>
  <si>
    <t>Tegangan baja prategang segera setelah transfer,</t>
  </si>
  <si>
    <t>Kehilangan tegangan pada baja prategang akibat susut dan rangkak beton,</t>
  </si>
  <si>
    <t>Kehilangan tegangan prategang akibat rangkak,</t>
  </si>
  <si>
    <t>Kehilangan tegangan prategang akibat susut,</t>
  </si>
  <si>
    <r>
      <t>f</t>
    </r>
    <r>
      <rPr>
        <vertAlign val="subscript"/>
        <sz val="11"/>
        <color theme="1"/>
        <rFont val="Calibri"/>
        <family val="2"/>
        <scheme val="minor"/>
      </rPr>
      <t>pi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</si>
  <si>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Kehilangan gaya prategang akibat relaksasi baja,</t>
  </si>
  <si>
    <t>Faktor relaksasi rencana tendon,</t>
  </si>
  <si>
    <t>UTS</t>
  </si>
  <si>
    <r>
      <t>f</t>
    </r>
    <r>
      <rPr>
        <vertAlign val="subscript"/>
        <sz val="11"/>
        <color theme="1"/>
        <rFont val="Calibri"/>
        <family val="2"/>
        <scheme val="minor"/>
      </rPr>
      <t>pci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/ A + P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/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/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</si>
  <si>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CR = 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</t>
    </r>
    <r>
      <rPr>
        <sz val="11"/>
        <color theme="1"/>
        <rFont val="Calibri"/>
        <family val="2"/>
      </rPr>
      <t>φ</t>
    </r>
    <r>
      <rPr>
        <vertAlign val="subscript"/>
        <sz val="11"/>
        <color theme="1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>(t)  * ( f</t>
    </r>
    <r>
      <rPr>
        <vertAlign val="subscript"/>
        <sz val="11"/>
        <color theme="1"/>
        <rFont val="Calibri"/>
        <family val="2"/>
        <scheme val="minor"/>
      </rPr>
      <t>pci</t>
    </r>
    <r>
      <rPr>
        <sz val="11"/>
        <color theme="1"/>
        <rFont val="Calibri"/>
        <family val="2"/>
        <scheme val="minor"/>
      </rPr>
      <t xml:space="preserve"> / E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 xml:space="preserve"> ) =</t>
    </r>
  </si>
  <si>
    <t>hari</t>
  </si>
  <si>
    <t>Kelembaban relatif :</t>
  </si>
  <si>
    <t>Ketebalan minimum beton :</t>
  </si>
  <si>
    <t>Slump :</t>
  </si>
  <si>
    <t>Kadar agregat halus :</t>
  </si>
  <si>
    <t>Jumlah semen :</t>
  </si>
  <si>
    <t>Kadar udara dalam beton :</t>
  </si>
  <si>
    <t>d =</t>
  </si>
  <si>
    <t>F =</t>
  </si>
  <si>
    <t>AC =</t>
  </si>
  <si>
    <t>cm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</si>
  <si>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</si>
  <si>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%</t>
  </si>
  <si>
    <r>
      <t>K</t>
    </r>
    <r>
      <rPr>
        <vertAlign val="subscript"/>
        <sz val="11"/>
        <color theme="1"/>
        <rFont val="Calibri"/>
        <family val="2"/>
        <scheme val="minor"/>
      </rPr>
      <t>h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</si>
  <si>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d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</si>
  <si>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s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</si>
  <si>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</si>
  <si>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b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</si>
  <si>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ac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</si>
  <si>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h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</si>
  <si>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d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</si>
  <si>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s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</si>
  <si>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</si>
  <si>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ac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</si>
  <si>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t>umur beton saat dibebani :</t>
  </si>
  <si>
    <r>
      <t>K</t>
    </r>
    <r>
      <rPr>
        <vertAlign val="subscript"/>
        <sz val="11"/>
        <color theme="1"/>
        <rFont val="Calibri"/>
        <family val="2"/>
        <scheme val="minor"/>
      </rPr>
      <t>to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</si>
  <si>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t>to =</t>
  </si>
  <si>
    <r>
      <t>Cu = 2,35 * K</t>
    </r>
    <r>
      <rPr>
        <vertAlign val="subscript"/>
        <sz val="11"/>
        <color theme="1"/>
        <rFont val="Calibri"/>
        <family val="2"/>
        <scheme val="minor"/>
      </rPr>
      <t>h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d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s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to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ac</t>
    </r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</si>
  <si>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rPr>
        <sz val="11"/>
        <color theme="1"/>
        <rFont val="Calibri"/>
        <family val="2"/>
      </rPr>
      <t>λ</t>
    </r>
    <r>
      <rPr>
        <sz val="11"/>
        <color theme="1"/>
        <rFont val="Calibri"/>
        <family val="2"/>
        <charset val="1"/>
      </rPr>
      <t>cs =</t>
    </r>
    <r>
      <rPr>
        <sz val="11"/>
        <color theme="1"/>
        <rFont val="Calibri"/>
        <family val="2"/>
        <charset val="1"/>
        <scheme val="minor"/>
      </rPr>
      <t xml:space="preserve"> K</t>
    </r>
    <r>
      <rPr>
        <vertAlign val="subscript"/>
        <sz val="11"/>
        <color theme="1"/>
        <rFont val="Calibri"/>
        <family val="2"/>
        <scheme val="minor"/>
      </rPr>
      <t>h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d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s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f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b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K</t>
    </r>
    <r>
      <rPr>
        <vertAlign val="subscript"/>
        <sz val="11"/>
        <color theme="1"/>
        <rFont val="Calibri"/>
        <family val="2"/>
        <scheme val="minor"/>
      </rPr>
      <t>ac</t>
    </r>
    <r>
      <rPr>
        <vertAlign val="super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</si>
  <si>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Umur beton yang dirawat basah di lokasi pekerjaan,</t>
  </si>
  <si>
    <t>c =</t>
  </si>
  <si>
    <t>Kehilangan gaya prategang jangka panjang,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</si>
  <si>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"/>
      </rPr>
      <t>P = CR + SH + RE =</t>
    </r>
  </si>
  <si>
    <t>Gaya efektif di tengah bentang balok,</t>
  </si>
  <si>
    <t>Kehilangan gaya prategang total,</t>
  </si>
  <si>
    <t>Tegangan ijin tendon baja pasca tarik,</t>
  </si>
  <si>
    <t>Tegangan yang terjadi pada tendon baja pasca tarik,</t>
  </si>
  <si>
    <t>Syarat :</t>
  </si>
  <si>
    <t>&lt;</t>
  </si>
  <si>
    <t>→</t>
  </si>
  <si>
    <r>
      <t>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-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"/>
        <scheme val="minor"/>
      </rPr>
      <t>P =</t>
    </r>
  </si>
  <si>
    <r>
      <t>0,70 * f</t>
    </r>
    <r>
      <rPr>
        <vertAlign val="subscript"/>
        <sz val="11"/>
        <color theme="1"/>
        <rFont val="Calibri"/>
        <family val="2"/>
        <scheme val="minor"/>
      </rPr>
      <t>pu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</si>
  <si>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</si>
  <si>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charset val="1"/>
        <scheme val="minor"/>
      </rPr>
      <t xml:space="preserve"> </t>
    </r>
  </si>
  <si>
    <r>
      <t>0,70 * f</t>
    </r>
    <r>
      <rPr>
        <vertAlign val="subscript"/>
        <sz val="11"/>
        <color theme="1"/>
        <rFont val="Calibri"/>
        <family val="2"/>
        <scheme val="minor"/>
      </rPr>
      <t>pu</t>
    </r>
  </si>
  <si>
    <r>
      <t>( 1 -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) * 100% =</t>
    </r>
  </si>
  <si>
    <t>Gaya prategang saat jacking (jacking force),</t>
  </si>
  <si>
    <t>Gaya prategang setelah kehilangan gaya akibat gesekan angkur,</t>
  </si>
  <si>
    <t>Gaya prategang setelah kehilangan gaya akibat gesekan kable,</t>
  </si>
  <si>
    <t>Gaya prategang setelah kehilangan gaya jangka panjang,</t>
  </si>
  <si>
    <r>
      <t>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</si>
  <si>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* 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* P</t>
    </r>
    <r>
      <rPr>
        <vertAlign val="subscript"/>
        <sz val="11"/>
        <color theme="1"/>
        <rFont val="Calibri"/>
        <family val="2"/>
        <scheme val="minor"/>
      </rPr>
      <t>bs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</si>
  <si>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Calibri"/>
        <family val="2"/>
      </rPr>
      <t>ΔES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>Δσ</t>
    </r>
    <r>
      <rPr>
        <vertAlign val="subscript"/>
        <sz val="11"/>
        <color theme="1"/>
        <rFont val="Calibri"/>
        <family val="2"/>
        <scheme val="minor"/>
      </rPr>
      <t>pe</t>
    </r>
    <r>
      <rPr>
        <sz val="11"/>
        <color theme="1"/>
        <rFont val="Calibri"/>
        <family val="2"/>
        <charset val="1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</si>
  <si>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= P'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charset val="1"/>
        <scheme val="minor"/>
      </rPr>
      <t xml:space="preserve"> -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"/>
        <scheme val="minor"/>
      </rPr>
      <t>E</t>
    </r>
    <r>
      <rPr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</si>
  <si>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Relaksasi setelah 1000 jam pada 70% beban putus (UTS),</t>
  </si>
  <si>
    <r>
      <t xml:space="preserve">Faktor pengaruh lingkungan </t>
    </r>
    <r>
      <rPr>
        <i/>
        <sz val="11"/>
        <color theme="1"/>
        <rFont val="Calibri"/>
        <family val="2"/>
        <scheme val="minor"/>
      </rPr>
      <t>(kondisi normal)</t>
    </r>
    <r>
      <rPr>
        <sz val="11"/>
        <color theme="1"/>
        <rFont val="Calibri"/>
        <family val="2"/>
        <scheme val="minor"/>
      </rPr>
      <t>,</t>
    </r>
  </si>
  <si>
    <r>
      <t>Δ</t>
    </r>
    <r>
      <rPr>
        <sz val="11"/>
        <color theme="1"/>
        <rFont val="Calibri"/>
        <family val="2"/>
        <charset val="1"/>
      </rPr>
      <t>f</t>
    </r>
    <r>
      <rPr>
        <vertAlign val="subscript"/>
        <sz val="11"/>
        <color theme="1"/>
        <rFont val="Calibri"/>
        <family val="2"/>
      </rPr>
      <t>pi</t>
    </r>
    <r>
      <rPr>
        <sz val="11"/>
        <color theme="1"/>
        <rFont val="Calibri"/>
        <family val="2"/>
        <charset val="1"/>
      </rPr>
      <t xml:space="preserve"> = </t>
    </r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</rPr>
      <t>CR</t>
    </r>
    <r>
      <rPr>
        <sz val="11"/>
        <color theme="1"/>
        <rFont val="Calibri"/>
        <family val="2"/>
      </rPr>
      <t xml:space="preserve"> + σ</t>
    </r>
    <r>
      <rPr>
        <vertAlign val="subscript"/>
        <sz val="11"/>
        <color theme="1"/>
        <rFont val="Calibri"/>
        <family val="2"/>
      </rPr>
      <t>SH</t>
    </r>
    <r>
      <rPr>
        <sz val="11"/>
        <color theme="1"/>
        <rFont val="Calibri"/>
        <family val="2"/>
      </rPr>
      <t xml:space="preserve"> =</t>
    </r>
  </si>
  <si>
    <t>0,25 * √fci =</t>
  </si>
  <si>
    <t>fci =</t>
  </si>
  <si>
    <t>Luas penampang balok prategang (lapangan),</t>
  </si>
  <si>
    <t>Luas penampang balok prategang (tumpuan),</t>
  </si>
  <si>
    <t>Momen akibat plat lantai,</t>
  </si>
  <si>
    <t>Luas penampang balok komposit,</t>
  </si>
  <si>
    <t>Letak titik berat balok komposit,</t>
  </si>
  <si>
    <t>Syarat</t>
  </si>
  <si>
    <t>Ket.</t>
  </si>
  <si>
    <t>Pada Saat Transfer (MPa)</t>
  </si>
  <si>
    <t>Tump.</t>
  </si>
  <si>
    <t>Posisi</t>
  </si>
  <si>
    <t>Kondisi</t>
  </si>
  <si>
    <t>tgh, bentang</t>
  </si>
  <si>
    <t>Setelah kehilangan gaya prategang (MPa)</t>
  </si>
  <si>
    <t>Plat lantai selesai dicor (MPa)</t>
  </si>
  <si>
    <r>
      <t>y</t>
    </r>
    <r>
      <rPr>
        <vertAlign val="subscript"/>
        <sz val="11"/>
        <color theme="1"/>
        <rFont val="Calibri"/>
        <family val="2"/>
        <scheme val="minor"/>
      </rPr>
      <t>a'</t>
    </r>
    <r>
      <rPr>
        <sz val="11"/>
        <color theme="1"/>
        <rFont val="Calibri"/>
        <family val="2"/>
        <charset val="1"/>
        <scheme val="minor"/>
      </rPr>
      <t xml:space="preserve"> =</t>
    </r>
  </si>
  <si>
    <t>Diambil asumsi besarnya gaya prategang,</t>
  </si>
  <si>
    <r>
      <t>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/ ( 0,8 * 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P</t>
    </r>
    <r>
      <rPr>
        <vertAlign val="subscript"/>
        <sz val="11"/>
        <color theme="1"/>
        <rFont val="Calibri"/>
        <family val="2"/>
        <scheme val="minor"/>
      </rPr>
      <t>bs</t>
    </r>
    <r>
      <rPr>
        <sz val="11"/>
        <color theme="1"/>
        <rFont val="Calibri"/>
        <family val="2"/>
        <charset val="1"/>
        <scheme val="minor"/>
      </rPr>
      <t xml:space="preserve"> ) =</t>
    </r>
  </si>
  <si>
    <t>Momen</t>
  </si>
  <si>
    <t>e =</t>
  </si>
  <si>
    <r>
      <t>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</si>
  <si>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</si>
  <si>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t>(kN.m)</t>
  </si>
  <si>
    <t>Mutu beton :</t>
  </si>
  <si>
    <t>Kuat tekan beton</t>
  </si>
  <si>
    <r>
      <t>h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</si>
  <si>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</si>
  <si>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</si>
  <si>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α =</t>
  </si>
  <si>
    <t>kNm</t>
  </si>
  <si>
    <r>
      <t>E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</si>
  <si>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t1 </t>
    </r>
    <r>
      <rPr>
        <sz val="11"/>
        <color theme="1"/>
        <rFont val="Calibri"/>
        <family val="2"/>
        <scheme val="minor"/>
      </rPr>
      <t>=</t>
    </r>
  </si>
  <si>
    <r>
      <t>e</t>
    </r>
    <r>
      <rPr>
        <vertAlign val="sub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</si>
  <si>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pt1</t>
    </r>
    <r>
      <rPr>
        <sz val="11"/>
        <color theme="1"/>
        <rFont val="Calibri"/>
        <family val="2"/>
        <scheme val="minor"/>
      </rPr>
      <t xml:space="preserve"> = 8 * P</t>
    </r>
    <r>
      <rPr>
        <vertAlign val="subscript"/>
        <sz val="11"/>
        <color theme="1"/>
        <rFont val="Calibri"/>
        <family val="2"/>
        <scheme val="minor"/>
      </rPr>
      <t>t1</t>
    </r>
    <r>
      <rPr>
        <sz val="11"/>
        <color theme="1"/>
        <rFont val="Calibri"/>
        <family val="2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/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</si>
  <si>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Q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 xml:space="preserve"> = 8 *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 xml:space="preserve"> / L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=</t>
    </r>
  </si>
  <si>
    <r>
      <t>δ = 5/384 * ( -Q</t>
    </r>
    <r>
      <rPr>
        <vertAlign val="subscript"/>
        <sz val="11"/>
        <color theme="1"/>
        <rFont val="Calibri"/>
        <family val="2"/>
        <scheme val="minor"/>
      </rPr>
      <t>pt1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 xml:space="preserve">balok </t>
    </r>
    <r>
      <rPr>
        <sz val="11"/>
        <color theme="1"/>
        <rFont val="Calibri"/>
        <family val="2"/>
        <scheme val="minor"/>
      </rPr>
      <t>) * L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/ ( E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 xml:space="preserve">x </t>
    </r>
    <r>
      <rPr>
        <sz val="11"/>
        <color theme="1"/>
        <rFont val="Calibri"/>
        <family val="2"/>
        <scheme val="minor"/>
      </rPr>
      <t>) =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</si>
  <si>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eff </t>
    </r>
    <r>
      <rPr>
        <sz val="11"/>
        <color theme="1"/>
        <rFont val="Calibri"/>
        <family val="2"/>
        <scheme val="minor"/>
      </rPr>
      <t>=</t>
    </r>
  </si>
  <si>
    <r>
      <t>δ = 5/384 * ( -Q</t>
    </r>
    <r>
      <rPr>
        <vertAlign val="subscript"/>
        <sz val="11"/>
        <color theme="1"/>
        <rFont val="Calibri"/>
        <family val="2"/>
        <scheme val="minor"/>
      </rPr>
      <t>peff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>) * L</t>
    </r>
    <r>
      <rPr>
        <vertAlign val="superscript"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>/ (E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 =</t>
    </r>
  </si>
  <si>
    <r>
      <t>Q</t>
    </r>
    <r>
      <rPr>
        <vertAlign val="subscript"/>
        <sz val="11"/>
        <color theme="1"/>
        <rFont val="Calibri"/>
        <family val="2"/>
        <scheme val="minor"/>
      </rPr>
      <t>balok+plat</t>
    </r>
    <r>
      <rPr>
        <sz val="11"/>
        <color theme="1"/>
        <rFont val="Calibri"/>
        <family val="2"/>
        <scheme val="minor"/>
      </rPr>
      <t xml:space="preserve"> = 8 * M</t>
    </r>
    <r>
      <rPr>
        <vertAlign val="subscript"/>
        <sz val="11"/>
        <color theme="1"/>
        <rFont val="Calibri"/>
        <family val="2"/>
        <scheme val="minor"/>
      </rPr>
      <t>balok+plat</t>
    </r>
    <r>
      <rPr>
        <sz val="11"/>
        <color theme="1"/>
        <rFont val="Calibri"/>
        <family val="2"/>
        <scheme val="minor"/>
      </rPr>
      <t xml:space="preserve"> /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</si>
  <si>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δ = 5/384 * ( -Q</t>
    </r>
    <r>
      <rPr>
        <vertAlign val="subscript"/>
        <sz val="11"/>
        <color theme="1"/>
        <rFont val="Calibri"/>
        <family val="2"/>
        <scheme val="minor"/>
      </rPr>
      <t>peff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 xml:space="preserve">balok+plat </t>
    </r>
    <r>
      <rPr>
        <sz val="11"/>
        <color theme="1"/>
        <rFont val="Calibri"/>
        <family val="2"/>
        <scheme val="minor"/>
      </rPr>
      <t>) * L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/ (E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 =</t>
    </r>
  </si>
  <si>
    <r>
      <t>e'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e</t>
    </r>
    <r>
      <rPr>
        <vertAlign val="sub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+ (y</t>
    </r>
    <r>
      <rPr>
        <vertAlign val="subscript"/>
        <sz val="11"/>
        <color theme="1"/>
        <rFont val="Calibri"/>
        <family val="2"/>
        <scheme val="minor"/>
      </rPr>
      <t xml:space="preserve">bc </t>
    </r>
    <r>
      <rPr>
        <sz val="11"/>
        <color theme="1"/>
        <rFont val="Calibri"/>
        <family val="2"/>
        <scheme val="minor"/>
      </rPr>
      <t>-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 =</t>
    </r>
  </si>
  <si>
    <t>Modulus elstis beton prategang,</t>
  </si>
  <si>
    <t>Nilai gaya prategang saat jacking,</t>
  </si>
  <si>
    <t>Momen pada balok akibat berat sendiri,</t>
  </si>
  <si>
    <t>Asumsi beban momen akibat berat sendiri,</t>
  </si>
  <si>
    <t>Asumsi beban momen akibat jacking,</t>
  </si>
  <si>
    <t>Lendutan akibat beban jacking dan berat sendiri,</t>
  </si>
  <si>
    <t>Syarat,</t>
  </si>
  <si>
    <t>δ</t>
  </si>
  <si>
    <t>L/300</t>
  </si>
  <si>
    <r>
      <t>P'</t>
    </r>
    <r>
      <rPr>
        <vertAlign val="subscript"/>
        <sz val="11"/>
        <color theme="1"/>
        <rFont val="Calibri"/>
        <family val="2"/>
        <scheme val="minor"/>
      </rPr>
      <t xml:space="preserve">eff 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</si>
  <si>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p'eff</t>
    </r>
    <r>
      <rPr>
        <sz val="11"/>
        <color theme="1"/>
        <rFont val="Calibri"/>
        <family val="2"/>
        <scheme val="minor"/>
      </rPr>
      <t xml:space="preserve"> = 8 * P'</t>
    </r>
    <r>
      <rPr>
        <vertAlign val="subscript"/>
        <sz val="11"/>
        <color theme="1"/>
        <rFont val="Calibri"/>
        <family val="2"/>
        <scheme val="minor"/>
      </rPr>
      <t xml:space="preserve">eff </t>
    </r>
    <r>
      <rPr>
        <sz val="11"/>
        <color theme="1"/>
        <rFont val="Calibri"/>
        <family val="2"/>
        <scheme val="minor"/>
      </rPr>
      <t>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/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</si>
  <si>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Eksentrisitas tendon komposit,</t>
  </si>
  <si>
    <t>Letak titik berat ke serat bawah balok komposit,</t>
  </si>
  <si>
    <t>Letak titik berat ke serat bawah balok prategang,</t>
  </si>
  <si>
    <r>
      <t>y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</si>
  <si>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</si>
  <si>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e'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</si>
  <si>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</si>
  <si>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TB</t>
    </r>
    <r>
      <rPr>
        <sz val="11"/>
        <color theme="1"/>
        <rFont val="Calibri"/>
        <family val="2"/>
        <scheme val="minor"/>
      </rPr>
      <t xml:space="preserve"> =</t>
    </r>
  </si>
  <si>
    <t>Nilai gaya prategang saat kehilangan gaya jangka pendek,</t>
  </si>
  <si>
    <t>Nilai gaya prategang saat kehilangan gaya jangka panjang,</t>
  </si>
  <si>
    <r>
      <t>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  <scheme val="minor"/>
      </rPr>
      <t xml:space="preserve"> =</t>
    </r>
  </si>
  <si>
    <t>Momen pada balok akibat berat sendiri + plat pada program bantu,</t>
  </si>
  <si>
    <t>Lendutan akibat berat sendiri,</t>
  </si>
  <si>
    <t>Momen akibat beban mati tambahan,</t>
  </si>
  <si>
    <r>
      <t>M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</si>
  <si>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=</t>
    </r>
  </si>
  <si>
    <t>Momen akibat beban prestress,</t>
  </si>
  <si>
    <t>Momen akibat beban beban lajur Truk,</t>
  </si>
  <si>
    <t>Lendutan akibat beban prestress,</t>
  </si>
  <si>
    <t>Lendutan akibat berat mati tambahan,</t>
  </si>
  <si>
    <t>Lendutan akibat beban lajur truk,</t>
  </si>
  <si>
    <t>Momen akibat beban lajur D,</t>
  </si>
  <si>
    <r>
      <t>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  <scheme val="minor"/>
      </rPr>
      <t xml:space="preserve"> =</t>
    </r>
  </si>
  <si>
    <t>Lendutan akibat beban lajur D,</t>
  </si>
  <si>
    <t>Momen akibat beban REM,</t>
  </si>
  <si>
    <t>Lendutan akibat beban REM,</t>
  </si>
  <si>
    <t>Momen akibat beban angin kendaraan (EWL),</t>
  </si>
  <si>
    <t>Momen akibat beban angin struktur (EWS),</t>
  </si>
  <si>
    <t>Lendutan akibat beban angin,</t>
  </si>
  <si>
    <r>
      <t>M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</si>
  <si>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EWS</t>
    </r>
    <r>
      <rPr>
        <sz val="11"/>
        <color theme="1"/>
        <rFont val="Calibri"/>
        <family val="2"/>
        <scheme val="minor"/>
      </rPr>
      <t xml:space="preserve"> =</t>
    </r>
  </si>
  <si>
    <t>Lendutan berdasarkan kombinasi layan 1,</t>
  </si>
  <si>
    <r>
      <t>δ</t>
    </r>
    <r>
      <rPr>
        <vertAlign val="subscript"/>
        <sz val="11"/>
        <color theme="1"/>
        <rFont val="Calibri"/>
        <family val="2"/>
        <scheme val="minor"/>
      </rPr>
      <t>EW</t>
    </r>
    <r>
      <rPr>
        <sz val="11"/>
        <color theme="1"/>
        <rFont val="Calibri"/>
        <family val="2"/>
        <scheme val="minor"/>
      </rPr>
      <t xml:space="preserve"> = 5/48 * ( M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EWS )</t>
    </r>
    <r>
      <rPr>
        <sz val="11"/>
        <color theme="1"/>
        <rFont val="Calibri"/>
        <family val="2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/ (E</t>
    </r>
    <r>
      <rPr>
        <vertAlign val="subscript"/>
        <sz val="11"/>
        <color theme="1"/>
        <rFont val="Calibri"/>
        <family val="2"/>
        <scheme val="minor"/>
      </rPr>
      <t xml:space="preserve">balok </t>
    </r>
    <r>
      <rPr>
        <sz val="11"/>
        <color theme="1"/>
        <rFont val="Calibri"/>
        <family val="2"/>
        <scheme val="minor"/>
      </rPr>
      <t>*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 xml:space="preserve"> ) =</t>
    </r>
  </si>
  <si>
    <r>
      <t>δ</t>
    </r>
    <r>
      <rPr>
        <vertAlign val="subscript"/>
        <sz val="11"/>
        <color theme="1"/>
        <rFont val="Calibri"/>
        <family val="2"/>
        <scheme val="minor"/>
      </rPr>
      <t>TB</t>
    </r>
    <r>
      <rPr>
        <sz val="11"/>
        <color theme="1"/>
        <rFont val="Calibri"/>
        <family val="2"/>
        <scheme val="minor"/>
      </rPr>
      <t xml:space="preserve"> = 5/48 * ( - M</t>
    </r>
    <r>
      <rPr>
        <vertAlign val="subscript"/>
        <sz val="11"/>
        <color theme="1"/>
        <rFont val="Calibri"/>
        <family val="2"/>
        <scheme val="minor"/>
      </rPr>
      <t>TB</t>
    </r>
    <r>
      <rPr>
        <sz val="11"/>
        <color theme="1"/>
        <rFont val="Calibri"/>
        <family val="2"/>
        <scheme val="minor"/>
      </rPr>
      <t xml:space="preserve"> ) * L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/ (E</t>
    </r>
    <r>
      <rPr>
        <vertAlign val="subscript"/>
        <sz val="11"/>
        <color theme="1"/>
        <rFont val="Calibri"/>
        <family val="2"/>
        <scheme val="minor"/>
      </rPr>
      <t xml:space="preserve">balok </t>
    </r>
    <r>
      <rPr>
        <sz val="11"/>
        <color theme="1"/>
        <rFont val="Calibri"/>
        <family val="2"/>
        <scheme val="minor"/>
      </rPr>
      <t>*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 xml:space="preserve"> ) =</t>
    </r>
  </si>
  <si>
    <r>
      <t>δ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  <scheme val="minor"/>
      </rPr>
      <t xml:space="preserve"> = 5/48 * 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/ (E</t>
    </r>
    <r>
      <rPr>
        <vertAlign val="subscript"/>
        <sz val="11"/>
        <color theme="1"/>
        <rFont val="Calibri"/>
        <family val="2"/>
        <scheme val="minor"/>
      </rPr>
      <t xml:space="preserve">balok </t>
    </r>
    <r>
      <rPr>
        <sz val="11"/>
        <color theme="1"/>
        <rFont val="Calibri"/>
        <family val="2"/>
        <scheme val="minor"/>
      </rPr>
      <t>*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 xml:space="preserve"> ) =</t>
    </r>
  </si>
  <si>
    <r>
      <t>δ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  <scheme val="minor"/>
      </rPr>
      <t xml:space="preserve"> = 5/48 * 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/ (E</t>
    </r>
    <r>
      <rPr>
        <vertAlign val="subscript"/>
        <sz val="11"/>
        <color theme="1"/>
        <rFont val="Calibri"/>
        <family val="2"/>
        <scheme val="minor"/>
      </rPr>
      <t xml:space="preserve">balok </t>
    </r>
    <r>
      <rPr>
        <sz val="11"/>
        <color theme="1"/>
        <rFont val="Calibri"/>
        <family val="2"/>
        <scheme val="minor"/>
      </rPr>
      <t>*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 xml:space="preserve"> ) =</t>
    </r>
  </si>
  <si>
    <r>
      <t>δ</t>
    </r>
    <r>
      <rPr>
        <vertAlign val="subscript"/>
        <sz val="11"/>
        <color theme="1"/>
        <rFont val="Calibri"/>
        <family val="2"/>
        <scheme val="minor"/>
      </rPr>
      <t>PR</t>
    </r>
    <r>
      <rPr>
        <sz val="11"/>
        <color theme="1"/>
        <rFont val="Calibri"/>
        <family val="2"/>
        <scheme val="minor"/>
      </rPr>
      <t xml:space="preserve"> = 5/48 * - M</t>
    </r>
    <r>
      <rPr>
        <vertAlign val="subscript"/>
        <sz val="11"/>
        <color theme="1"/>
        <rFont val="Calibri"/>
        <family val="2"/>
        <scheme val="minor"/>
      </rPr>
      <t>Qeff</t>
    </r>
    <r>
      <rPr>
        <sz val="11"/>
        <color theme="1"/>
        <rFont val="Calibri"/>
        <family val="2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/ (E</t>
    </r>
    <r>
      <rPr>
        <vertAlign val="subscript"/>
        <sz val="11"/>
        <color theme="1"/>
        <rFont val="Calibri"/>
        <family val="2"/>
        <scheme val="minor"/>
      </rPr>
      <t xml:space="preserve">balok </t>
    </r>
    <r>
      <rPr>
        <sz val="11"/>
        <color theme="1"/>
        <rFont val="Calibri"/>
        <family val="2"/>
        <scheme val="minor"/>
      </rPr>
      <t>*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 xml:space="preserve"> ) =</t>
    </r>
  </si>
  <si>
    <r>
      <t>δ</t>
    </r>
    <r>
      <rPr>
        <vertAlign val="subscript"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= 5/48 * M</t>
    </r>
    <r>
      <rPr>
        <vertAlign val="subscript"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/ (E</t>
    </r>
    <r>
      <rPr>
        <vertAlign val="subscript"/>
        <sz val="11"/>
        <color theme="1"/>
        <rFont val="Calibri"/>
        <family val="2"/>
        <scheme val="minor"/>
      </rPr>
      <t xml:space="preserve">balok </t>
    </r>
    <r>
      <rPr>
        <sz val="11"/>
        <color theme="1"/>
        <rFont val="Calibri"/>
        <family val="2"/>
        <scheme val="minor"/>
      </rPr>
      <t>*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 xml:space="preserve"> ) =</t>
    </r>
  </si>
  <si>
    <r>
      <t>δ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  <scheme val="minor"/>
      </rPr>
      <t xml:space="preserve"> = 5/48 * M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/ (E</t>
    </r>
    <r>
      <rPr>
        <vertAlign val="subscript"/>
        <sz val="11"/>
        <color theme="1"/>
        <rFont val="Calibri"/>
        <family val="2"/>
        <scheme val="minor"/>
      </rPr>
      <t xml:space="preserve">balok </t>
    </r>
    <r>
      <rPr>
        <sz val="11"/>
        <color theme="1"/>
        <rFont val="Calibri"/>
        <family val="2"/>
        <scheme val="minor"/>
      </rPr>
      <t>*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scheme val="minor"/>
      </rPr>
      <t xml:space="preserve"> ) =</t>
    </r>
  </si>
  <si>
    <t>Lendutan berdasarkan program bantu kombinasi layan 1,</t>
  </si>
  <si>
    <r>
      <t>δ</t>
    </r>
    <r>
      <rPr>
        <vertAlign val="subscript"/>
        <sz val="11"/>
        <color theme="1"/>
        <rFont val="Calibri"/>
        <family val="2"/>
        <scheme val="minor"/>
      </rPr>
      <t>layan-1</t>
    </r>
    <r>
      <rPr>
        <sz val="11"/>
        <color theme="1"/>
        <rFont val="Calibri"/>
        <family val="2"/>
        <scheme val="minor"/>
      </rPr>
      <t xml:space="preserve"> =</t>
    </r>
  </si>
  <si>
    <t>buah</t>
  </si>
  <si>
    <t>Panjang bentang balok prategang</t>
  </si>
  <si>
    <t>Tegangan efektif baja prestress</t>
  </si>
  <si>
    <t>Luas penampang balok prategang komposit</t>
  </si>
  <si>
    <t>Rasio luas penampang baja prestress</t>
  </si>
  <si>
    <t>Letak titik berat tendon baja prategang terhadap alas balok</t>
  </si>
  <si>
    <t>Tinggi efektif balok</t>
  </si>
  <si>
    <t>Kuat leleh baja prategang</t>
  </si>
  <si>
    <t>Gaya tarik pada baja prestress</t>
  </si>
  <si>
    <t>Jarak garis netral terhadap sisi atas</t>
  </si>
  <si>
    <t>Regangan baja prestress</t>
  </si>
  <si>
    <t>Kapasitas momen ultimit balok prestress</t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</si>
  <si>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</si>
  <si>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 xml:space="preserve">st 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</si>
  <si>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py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</si>
  <si>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= n</t>
    </r>
    <r>
      <rPr>
        <vertAlign val="sub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* A</t>
    </r>
    <r>
      <rPr>
        <vertAlign val="subscript"/>
        <sz val="11"/>
        <color theme="1"/>
        <rFont val="Calibri"/>
        <family val="2"/>
        <scheme val="minor"/>
      </rPr>
      <t xml:space="preserve">st </t>
    </r>
    <r>
      <rPr>
        <sz val="11"/>
        <color theme="1"/>
        <rFont val="Calibri"/>
        <family val="2"/>
        <scheme val="minor"/>
      </rPr>
      <t>=</t>
    </r>
  </si>
  <si>
    <r>
      <t xml:space="preserve">Gaya prestress efektif (setelah </t>
    </r>
    <r>
      <rPr>
        <i/>
        <sz val="11"/>
        <color theme="1"/>
        <rFont val="Calibri"/>
        <family val="2"/>
        <scheme val="minor"/>
      </rPr>
      <t>loss of prestress</t>
    </r>
    <r>
      <rPr>
        <sz val="11"/>
        <color theme="1"/>
        <rFont val="Calibri"/>
        <family val="2"/>
        <scheme val="minor"/>
      </rPr>
      <t>)</t>
    </r>
  </si>
  <si>
    <r>
      <t>ρ</t>
    </r>
    <r>
      <rPr>
        <vertAlign val="subscript"/>
        <sz val="11"/>
        <color theme="1"/>
        <rFont val="Calibri"/>
        <family val="2"/>
        <scheme val="minor"/>
      </rPr>
      <t xml:space="preserve">p </t>
    </r>
    <r>
      <rPr>
        <sz val="11"/>
        <color theme="1"/>
        <rFont val="Calibri"/>
        <family val="2"/>
        <scheme val="minor"/>
      </rPr>
      <t>= A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>=</t>
    </r>
  </si>
  <si>
    <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</si>
  <si>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 xml:space="preserve">5 </t>
    </r>
    <r>
      <rPr>
        <sz val="11"/>
        <color theme="1"/>
        <rFont val="Calibri"/>
        <family val="2"/>
        <scheme val="minor"/>
      </rPr>
      <t>=</t>
    </r>
  </si>
  <si>
    <r>
      <t>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</si>
  <si>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</si>
  <si>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</si>
  <si>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</si>
  <si>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</si>
  <si>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</si>
  <si>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</si>
  <si>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</si>
  <si>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</si>
  <si>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</si>
  <si>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>=</t>
    </r>
  </si>
  <si>
    <r>
      <t>H= h + 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</si>
  <si>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=</t>
    </r>
  </si>
  <si>
    <r>
      <t>z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=</t>
    </r>
  </si>
  <si>
    <r>
      <t>d = h + h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- z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</si>
  <si>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 =</t>
    </r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</si>
  <si>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 xml:space="preserve">ps </t>
    </r>
    <r>
      <rPr>
        <sz val="11"/>
        <color theme="1"/>
        <rFont val="Calibri"/>
        <family val="2"/>
        <scheme val="minor"/>
      </rPr>
      <t>* f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=</t>
    </r>
  </si>
  <si>
    <r>
      <t>c = a / β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</si>
  <si>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</si>
  <si>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Modulus elastis baja prategang (strands) ASTM A-416 Grade 270,</t>
  </si>
  <si>
    <t>Tegangan leleh tendon baja prategang,</t>
  </si>
  <si>
    <t>*Satuan dalam m</t>
  </si>
  <si>
    <r>
      <t>C</t>
    </r>
    <r>
      <rPr>
        <vertAlign val="subscript"/>
        <sz val="11"/>
        <color theme="1"/>
        <rFont val="Calibri"/>
        <family val="2"/>
        <scheme val="minor"/>
      </rPr>
      <t xml:space="preserve">c     </t>
    </r>
    <r>
      <rPr>
        <sz val="11"/>
        <color theme="1"/>
        <rFont val="Calibri"/>
        <family val="2"/>
        <scheme val="minor"/>
      </rPr>
      <t>= T</t>
    </r>
    <r>
      <rPr>
        <vertAlign val="subscript"/>
        <sz val="11"/>
        <color theme="1"/>
        <rFont val="Calibri"/>
        <family val="2"/>
        <scheme val="minor"/>
      </rPr>
      <t>s</t>
    </r>
  </si>
  <si>
    <t>Momen ultimit berdasarkan kombinasi Kuat &amp; Ekstrim,</t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</si>
  <si>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charset val="1"/>
        <scheme val="minor"/>
      </rPr>
      <t xml:space="preserve"> =</t>
    </r>
  </si>
  <si>
    <t>LENDUTAN PADA KEADAAN AWAL (TRANSFER)</t>
  </si>
  <si>
    <t>LENDUTAN SETELAH LOSS OF PRESTRESS JANGKA PENDEK</t>
  </si>
  <si>
    <t>LENDUTAN SETELAH PLAT SELESAI DICOR (BETON MUDA)</t>
  </si>
  <si>
    <t>LENDUTAN BALOK KOMPOSIT KEHILANGAN PRATEGANG JANGKA PANJANG</t>
  </si>
  <si>
    <t>LENDUTAN AKIBAT BERAT SENDIRI (MS)</t>
  </si>
  <si>
    <t>LENDUTAN AKIBAT BEBAN MATI TAMBAHAN (MA)</t>
  </si>
  <si>
    <t>LENDUTAN AKIBAT PRESTRESS (PR)</t>
  </si>
  <si>
    <t>LENDUTAN AKIBAT BEBAN LAJUR "Truk" (TT)</t>
  </si>
  <si>
    <t>LENDUTAN AKIBAT BEBAN LAJUR "D" (TD)</t>
  </si>
  <si>
    <t>LENDUTAN AKIBAT BEBAN REM (TB)</t>
  </si>
  <si>
    <t>LENDUTAN AKIBAT BEBAN ANGIN (EW)</t>
  </si>
  <si>
    <t>LENDUTAN TOTAL BERDASARKAN LAYAN 1</t>
  </si>
  <si>
    <t>&gt;</t>
  </si>
  <si>
    <t>Tegangan leleh baja tulangan sirip (deform),</t>
  </si>
  <si>
    <t>Tegangan leleh baja tulangan polos,</t>
  </si>
  <si>
    <r>
      <t>f</t>
    </r>
    <r>
      <rPr>
        <vertAlign val="subscript"/>
        <sz val="11"/>
        <rFont val="Calibri"/>
        <family val="2"/>
        <scheme val="minor"/>
      </rPr>
      <t xml:space="preserve">y </t>
    </r>
    <r>
      <rPr>
        <sz val="11"/>
        <rFont val="Calibri"/>
        <family val="2"/>
        <scheme val="minor"/>
      </rPr>
      <t>=</t>
    </r>
  </si>
  <si>
    <t>(pers. 1)</t>
  </si>
  <si>
    <t>(pers. 2)</t>
  </si>
  <si>
    <t>Batas atas eksentrisitas tendon di tengah bentang,</t>
  </si>
  <si>
    <t>Batas bawah eksentrisitas tendon di tengah bentang,</t>
  </si>
  <si>
    <t>negatif berarti di atas c.g.c</t>
  </si>
  <si>
    <t>Kontrol persentase tegangan leleh maksimum pada baja,</t>
  </si>
  <si>
    <t>Kontrol eksentristas tendon di tengah bentang,</t>
  </si>
  <si>
    <r>
      <t>e</t>
    </r>
    <r>
      <rPr>
        <vertAlign val="subscript"/>
        <sz val="11"/>
        <color theme="1"/>
        <rFont val="Calibri"/>
        <family val="2"/>
        <scheme val="minor"/>
      </rPr>
      <t>top</t>
    </r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</si>
  <si>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</si>
  <si>
    <r>
      <t>e</t>
    </r>
    <r>
      <rPr>
        <vertAlign val="subscript"/>
        <sz val="11"/>
        <color theme="1"/>
        <rFont val="Calibri"/>
        <family val="2"/>
        <scheme val="minor"/>
      </rPr>
      <t>btm</t>
    </r>
  </si>
  <si>
    <t>Syarat rasio tulangan minimum,</t>
  </si>
  <si>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charset val="1"/>
        <scheme val="minor"/>
      </rPr>
      <t xml:space="preserve"> = 1/4 * 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charset val="1"/>
      </rPr>
      <t>(f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1"/>
      </rPr>
      <t>')/(f</t>
    </r>
    <r>
      <rPr>
        <vertAlign val="subscript"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  <charset val="1"/>
      </rPr>
      <t>) =</t>
    </r>
  </si>
  <si>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charset val="1"/>
        <scheme val="minor"/>
      </rPr>
      <t xml:space="preserve"> = 1,4 / f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</si>
  <si>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charset val="1"/>
        <scheme val="minor"/>
      </rPr>
      <t xml:space="preserve"> =</t>
    </r>
  </si>
  <si>
    <t>rasio tulangan pakai,</t>
  </si>
  <si>
    <r>
      <rPr>
        <sz val="11"/>
        <color theme="1"/>
        <rFont val="Calibri"/>
        <family val="2"/>
      </rPr>
      <t>ρ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</si>
  <si>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 bawah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>ρ</t>
    </r>
    <r>
      <rPr>
        <sz val="11"/>
        <color theme="1"/>
        <rFont val="Calibri"/>
        <family val="2"/>
        <charset val="1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bawah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</si>
  <si>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 badan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>ρ</t>
    </r>
    <r>
      <rPr>
        <sz val="11"/>
        <color theme="1"/>
        <rFont val="Calibri"/>
        <family val="2"/>
        <charset val="1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badan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</si>
  <si>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 atas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>ρ</t>
    </r>
    <r>
      <rPr>
        <sz val="11"/>
        <color theme="1"/>
        <rFont val="Calibri"/>
        <family val="2"/>
        <charset val="1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atas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</si>
  <si>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Batas Eksentrisitas</t>
  </si>
  <si>
    <r>
      <t>P</t>
    </r>
    <r>
      <rPr>
        <vertAlign val="subscript"/>
        <sz val="11"/>
        <rFont val="Calibri"/>
        <family val="2"/>
        <scheme val="minor"/>
      </rPr>
      <t>bs</t>
    </r>
    <r>
      <rPr>
        <sz val="11"/>
        <rFont val="Calibri"/>
        <family val="2"/>
        <scheme val="minor"/>
      </rPr>
      <t xml:space="preserve"> =</t>
    </r>
  </si>
  <si>
    <r>
      <t>Jika f</t>
    </r>
    <r>
      <rPr>
        <vertAlign val="subscript"/>
        <sz val="11"/>
        <color theme="1"/>
        <rFont val="Calibri"/>
        <family val="2"/>
        <scheme val="minor"/>
      </rPr>
      <t>pi</t>
    </r>
    <r>
      <rPr>
        <sz val="11"/>
        <color theme="1"/>
        <rFont val="Calibri"/>
        <family val="2"/>
        <charset val="1"/>
        <scheme val="minor"/>
      </rPr>
      <t xml:space="preserve"> &lt;</t>
    </r>
  </si>
  <si>
    <r>
      <t>Jika f</t>
    </r>
    <r>
      <rPr>
        <vertAlign val="subscript"/>
        <sz val="11"/>
        <color theme="1"/>
        <rFont val="Calibri"/>
        <family val="2"/>
        <scheme val="minor"/>
      </rPr>
      <t>pi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</si>
  <si>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R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</si>
  <si>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RE = 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* c * R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* ( f</t>
    </r>
    <r>
      <rPr>
        <vertAlign val="subscript"/>
        <sz val="11"/>
        <color theme="1"/>
        <rFont val="Calibri"/>
        <family val="2"/>
        <scheme val="minor"/>
      </rPr>
      <t>pi</t>
    </r>
    <r>
      <rPr>
        <sz val="11"/>
        <color theme="1"/>
        <rFont val="Calibri"/>
        <family val="2"/>
        <charset val="1"/>
        <scheme val="minor"/>
      </rPr>
      <t xml:space="preserve"> -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1"/>
      </rPr>
      <t>f</t>
    </r>
    <r>
      <rPr>
        <vertAlign val="subscript"/>
        <sz val="11"/>
        <color theme="1"/>
        <rFont val="Calibri"/>
        <family val="2"/>
      </rPr>
      <t>pi</t>
    </r>
    <r>
      <rPr>
        <sz val="11"/>
        <color theme="1"/>
        <rFont val="Calibri"/>
        <family val="2"/>
        <charset val="1"/>
      </rPr>
      <t xml:space="preserve"> ) =</t>
    </r>
  </si>
  <si>
    <r>
      <t>σ</t>
    </r>
    <r>
      <rPr>
        <vertAlign val="subscript"/>
        <sz val="11"/>
        <color theme="1"/>
        <rFont val="Calibri"/>
        <family val="2"/>
      </rPr>
      <t>CR</t>
    </r>
    <r>
      <rPr>
        <sz val="11"/>
        <color theme="1"/>
        <rFont val="Calibri"/>
        <family val="2"/>
        <charset val="1"/>
      </rPr>
      <t xml:space="preserve"> = CR / A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  <charset val="1"/>
      </rPr>
      <t xml:space="preserve"> =</t>
    </r>
  </si>
  <si>
    <r>
      <t>σ</t>
    </r>
    <r>
      <rPr>
        <vertAlign val="subscript"/>
        <sz val="11"/>
        <color theme="1"/>
        <rFont val="Calibri"/>
        <family val="2"/>
      </rPr>
      <t>SH</t>
    </r>
    <r>
      <rPr>
        <sz val="11"/>
        <color theme="1"/>
        <rFont val="Calibri"/>
        <family val="2"/>
        <charset val="1"/>
      </rPr>
      <t xml:space="preserve"> = SH / A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  <charset val="1"/>
      </rPr>
      <t xml:space="preserve"> =</t>
    </r>
  </si>
  <si>
    <r>
      <t>Jika f</t>
    </r>
    <r>
      <rPr>
        <vertAlign val="subscript"/>
        <sz val="11"/>
        <color theme="1"/>
        <rFont val="Calibri"/>
        <family val="2"/>
        <scheme val="minor"/>
      </rPr>
      <t>pi</t>
    </r>
    <r>
      <rPr>
        <sz val="11"/>
        <color theme="1"/>
        <rFont val="Calibri"/>
        <family val="2"/>
        <charset val="1"/>
        <scheme val="minor"/>
      </rPr>
      <t xml:space="preserve"> &gt;</t>
    </r>
  </si>
  <si>
    <r>
      <t>K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/ A *( 1 + e</t>
    </r>
    <r>
      <rPr>
        <vertAlign val="subscript"/>
        <sz val="11"/>
        <color theme="1"/>
        <rFont val="Calibri"/>
        <family val="2"/>
        <scheme val="minor"/>
      </rPr>
      <t>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/ 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) =</t>
    </r>
  </si>
  <si>
    <r>
      <t>ε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= 0,003 * (d - c) / c =</t>
    </r>
  </si>
  <si>
    <t>Momen inesia terhadap titik berat,</t>
  </si>
  <si>
    <t>A.1.</t>
  </si>
  <si>
    <t>DATA DIMENSI JEMBATAN</t>
  </si>
  <si>
    <t>A.2.</t>
  </si>
  <si>
    <t>DATA BAHAN STRUKTUR BETON</t>
  </si>
  <si>
    <t>Data Bahan Struktur Precast</t>
  </si>
  <si>
    <t>Data Bahan Struktur Slab Lantai</t>
  </si>
  <si>
    <t>A.3.</t>
  </si>
  <si>
    <t>DATA BAHAN &amp; DIMENSI TULANGAN BAJA</t>
  </si>
  <si>
    <t>A.4.</t>
  </si>
  <si>
    <t>DATA SPECIFIC GRAVITY</t>
  </si>
  <si>
    <t>Kuat tekan beton pada saat transfer,</t>
  </si>
  <si>
    <t>A.5.</t>
  </si>
  <si>
    <t>BAJA PRATEGANG</t>
  </si>
  <si>
    <r>
      <t>f</t>
    </r>
    <r>
      <rPr>
        <vertAlign val="subscript"/>
        <sz val="11"/>
        <rFont val="Calibri"/>
        <family val="2"/>
        <scheme val="minor"/>
      </rPr>
      <t>py</t>
    </r>
    <r>
      <rPr>
        <sz val="1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</si>
  <si>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rFont val="Calibri"/>
        <family val="2"/>
        <scheme val="minor"/>
      </rPr>
      <t>pu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</si>
  <si>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 xml:space="preserve"> =</t>
    </r>
  </si>
  <si>
    <r>
      <t>E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</si>
  <si>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mm</t>
    </r>
    <r>
      <rPr>
        <vertAlign val="superscript"/>
        <sz val="11"/>
        <rFont val="Calibri"/>
        <family val="2"/>
        <scheme val="minor"/>
      </rPr>
      <t>2</t>
    </r>
  </si>
  <si>
    <t>Tipe balok prestress,</t>
  </si>
  <si>
    <t>Tegangan leleh strand,</t>
  </si>
  <si>
    <t>Kuat tarik strand,</t>
  </si>
  <si>
    <t>Diameter nominal strands,</t>
  </si>
  <si>
    <t>Beban putus minimal satu strands,</t>
  </si>
  <si>
    <t>Modulus elastis strands,</t>
  </si>
  <si>
    <t>Jumlah tendon pakai,</t>
  </si>
  <si>
    <t>DATA BALOK PC I GIRDER</t>
  </si>
  <si>
    <t>A.6.</t>
  </si>
  <si>
    <t>Jarak dari alas balok ke as tendon ke-1 (tengah),</t>
  </si>
  <si>
    <t>Jarak dari alas balok ke as tendon ke-1 (tepi),</t>
  </si>
  <si>
    <t>DIMENSI BALOK PRESTRESS</t>
  </si>
  <si>
    <t>LEBAR EFEKTIF SLAB LANTAI BETON</t>
  </si>
  <si>
    <r>
      <t>Sudut Angkur (</t>
    </r>
    <r>
      <rPr>
        <sz val="10"/>
        <color theme="1"/>
        <rFont val="Calibri"/>
        <family val="2"/>
      </rPr>
      <t>α)</t>
    </r>
  </si>
  <si>
    <t>SECTION PROPERTIES BALOK PRATEGANG</t>
  </si>
  <si>
    <t>SECTION PROPERTIES BALOK KOMPOSIT (PRATEGANG + PLAT LANTAI)</t>
  </si>
  <si>
    <t>GAYA PRATEGANG KONDISI AWAL (SAAT TRANSFER)</t>
  </si>
  <si>
    <t>GAYA PRATEGANG KONDISI AKHIR</t>
  </si>
  <si>
    <t>Jumlah strand pakai per tendon,</t>
  </si>
  <si>
    <t xml:space="preserve">Tendon ke </t>
  </si>
  <si>
    <t>Unit Tendon</t>
  </si>
  <si>
    <t>5-4</t>
  </si>
  <si>
    <t>5-7</t>
  </si>
  <si>
    <t>5-12</t>
  </si>
  <si>
    <t>5-19</t>
  </si>
  <si>
    <t>B</t>
  </si>
  <si>
    <t>C</t>
  </si>
  <si>
    <t>E</t>
  </si>
  <si>
    <t>F</t>
  </si>
  <si>
    <t>G</t>
  </si>
  <si>
    <t>Stressing Anchorage VSL Type EC</t>
  </si>
  <si>
    <t>Lebar Angkur</t>
  </si>
  <si>
    <t>Stressing</t>
  </si>
  <si>
    <t>Dead End</t>
  </si>
  <si>
    <t>Total Strands</t>
  </si>
  <si>
    <t>Maksimum Strands</t>
  </si>
  <si>
    <t>PEMBESIAN BALOK PRATEGANG</t>
  </si>
  <si>
    <r>
      <t>e</t>
    </r>
    <r>
      <rPr>
        <vertAlign val="subscript"/>
        <sz val="11"/>
        <color theme="1"/>
        <rFont val="Calibri"/>
        <family val="2"/>
        <scheme val="minor"/>
      </rPr>
      <t>btm</t>
    </r>
    <r>
      <rPr>
        <sz val="11"/>
        <color theme="1"/>
        <rFont val="Calibri"/>
        <family val="2"/>
        <scheme val="minor"/>
      </rPr>
      <t xml:space="preserve"> = yb -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/ A + 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/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</si>
  <si>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top</t>
    </r>
    <r>
      <rPr>
        <sz val="11"/>
        <color theme="1"/>
        <rFont val="Calibri"/>
        <family val="2"/>
        <scheme val="minor"/>
      </rPr>
      <t xml:space="preserve"> = -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/ A + (M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 /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=</t>
    </r>
  </si>
  <si>
    <t>X = 0,00</t>
  </si>
  <si>
    <t>POSISI TENDON</t>
  </si>
  <si>
    <t>POSISI TENDON DI TENGAH BENTANG</t>
  </si>
  <si>
    <t>POSISI TENDON DI TUMPUAN BENTANG</t>
  </si>
  <si>
    <t>Diameter Selubung (mm)</t>
  </si>
  <si>
    <t>E.1.</t>
  </si>
  <si>
    <t>LINTASAN INTI TENDON (CABLE)</t>
  </si>
  <si>
    <t>E.2.</t>
  </si>
  <si>
    <t>SUDUT ANGKUR</t>
  </si>
  <si>
    <t>E.3.</t>
  </si>
  <si>
    <t>TATA LETAK DAN TRACE KABEL</t>
  </si>
  <si>
    <t>KONTROL KEHILANGAN GAYA PRATEGANG</t>
  </si>
  <si>
    <t>KEHILANGAN TEGANGAN AKIBAT GESEKAN ANGKUR (ANCHORAGE FRICTION)</t>
  </si>
  <si>
    <t>KEHILANGAN TEGANGAN AKIBAT GESEKAN CABLE (JACK FRICTION)</t>
  </si>
  <si>
    <t>KEHILANGAN TEGANGAN AKIBAT PEMENDEKAN ELASTIS (ELASTIC SHORTENING)</t>
  </si>
  <si>
    <t>KEHILANGAN TEGANGAN AKIBAT PENGANGKURAN (ANCHORING)</t>
  </si>
  <si>
    <t>KEHILANGAN GAYA PRATEGANG AKIBAT RANGKAK BETON</t>
  </si>
  <si>
    <t>KEHILANGAN GAYA PRATEGANG AKIBAT SUSUT BETON</t>
  </si>
  <si>
    <t>KEHILANGAN GAYA PRATEGANG AKIBAT RELAKSASI BAJA</t>
  </si>
  <si>
    <t>F.1.</t>
  </si>
  <si>
    <t>F.2.</t>
  </si>
  <si>
    <t>F.3.</t>
  </si>
  <si>
    <r>
      <t>y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</si>
  <si>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</si>
  <si>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a'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</si>
  <si>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</si>
  <si>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</si>
  <si>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</si>
  <si>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/ A +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</si>
  <si>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cb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/ A -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</si>
  <si>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/ A +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</si>
  <si>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cb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/ A -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</si>
  <si>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</si>
  <si>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A +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</si>
  <si>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cb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A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</si>
  <si>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</si>
  <si>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>'</t>
    </r>
    <r>
      <rPr>
        <sz val="11"/>
        <color theme="1"/>
        <rFont val="Calibri"/>
        <family val="2"/>
        <charset val="1"/>
        <scheme val="minor"/>
      </rPr>
      <t xml:space="preserve"> =</t>
    </r>
  </si>
  <si>
    <t>G.1.</t>
  </si>
  <si>
    <t>TEGANGAN YANG TERJADI PADA PENAMPANG BALOK</t>
  </si>
  <si>
    <t>G.2.</t>
  </si>
  <si>
    <t>KEADAAN AWAL (SAAT TRANSFER) PADA TENGAH BENTANG</t>
  </si>
  <si>
    <t>G.3.</t>
  </si>
  <si>
    <t>KEADAAN AWAL (SAAT TRANSFER) PADA TUMPUAN</t>
  </si>
  <si>
    <t>G.4.</t>
  </si>
  <si>
    <t>KEADAAN SETELAH LOSS OF PRESTRESS PADA TENGAH BENTANG</t>
  </si>
  <si>
    <t>G.5.</t>
  </si>
  <si>
    <t>KEADAAN SETELAH LOSS OF PRESTRESS PADA TUMPUAN</t>
  </si>
  <si>
    <t>G.6.</t>
  </si>
  <si>
    <t>KEADAAN SETELAH PLAT LANTAI SELESAI DICOR (BETON MUDA)</t>
  </si>
  <si>
    <t>G.7.</t>
  </si>
  <si>
    <t>KEADAAN SETELAH PLAT DAN BALOK MENJADI KOMPOSIT PADA TENGAH BENTANG</t>
  </si>
  <si>
    <t>G.8.</t>
  </si>
  <si>
    <t>REKAPITULASI TEGANGAN YANG TERJADI PADA PENAMPANG</t>
  </si>
  <si>
    <t>Jumlah strands perlu</t>
  </si>
  <si>
    <t>Lebar efektif slab lantai jembatan,</t>
  </si>
  <si>
    <t>Berat jenis material beton bertulang,</t>
  </si>
  <si>
    <t>Berat jenis material beton tidak bertulang,</t>
  </si>
  <si>
    <t>Berat jenis material aspal,</t>
  </si>
  <si>
    <t>Berat jenis material air,</t>
  </si>
  <si>
    <t>Berat jenis material baja,</t>
  </si>
  <si>
    <t>Beban mati akibat slab lantai jembatan,</t>
  </si>
  <si>
    <r>
      <t>Q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  <charset val="1"/>
        <scheme val="minor"/>
      </rPr>
      <t xml:space="preserve"> = 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</si>
  <si>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Momen akibat slab lantai jembatan,</t>
  </si>
  <si>
    <t>BEBAN MATI AKIBAT SLAB LANTAI JEMBATAN</t>
  </si>
  <si>
    <t>BEBAN MATI AKIBAT DIAPRAGMA PC I GIRDER</t>
  </si>
  <si>
    <t>Jumlah diapragma rencana,</t>
  </si>
  <si>
    <t>Jarak diapragma dari tengah bentang,</t>
  </si>
  <si>
    <t>Ukuran diafragma,</t>
  </si>
  <si>
    <t>Tebal =</t>
  </si>
  <si>
    <t>Lebar =</t>
  </si>
  <si>
    <t>Tinggi =</t>
  </si>
  <si>
    <t>Berat 1 buah diafragma,</t>
  </si>
  <si>
    <r>
      <t>W = 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Tebal * Tinggi * Lebar =</t>
    </r>
  </si>
  <si>
    <t>Momen akibat diapragma PC I Girder,</t>
  </si>
  <si>
    <r>
      <t>M</t>
    </r>
    <r>
      <rPr>
        <vertAlign val="subscript"/>
        <sz val="11"/>
        <color theme="1"/>
        <rFont val="Calibri"/>
        <family val="2"/>
        <scheme val="minor"/>
      </rPr>
      <t>MS-1</t>
    </r>
    <r>
      <rPr>
        <sz val="11"/>
        <color theme="1"/>
        <rFont val="Calibri"/>
        <family val="2"/>
        <charset val="1"/>
        <scheme val="minor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  <charset val="1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</si>
  <si>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A +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balok+plat+D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</si>
  <si>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cb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A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balok+plat+D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</si>
  <si>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Beban mati tambahan akibat perkerasan aspal,</t>
  </si>
  <si>
    <r>
      <t>kN/m</t>
    </r>
    <r>
      <rPr>
        <vertAlign val="superscript"/>
        <sz val="11"/>
        <color theme="1"/>
        <rFont val="Calibri"/>
        <family val="2"/>
        <scheme val="minor"/>
      </rPr>
      <t>2</t>
    </r>
  </si>
  <si>
    <t>Beban mati tambahan akibat genangan air hujan,</t>
  </si>
  <si>
    <t>BEBAN MATI KOMPONEN STRUKTURAL JEMBATAN (MS)</t>
  </si>
  <si>
    <t>BEBAN MATI PERKERASAAN DAN UTILITAS JEMBATAN (MA)</t>
  </si>
  <si>
    <t>BEBAN MATI TAMBAHAN AKIBAT LAPISAN ASPAL + OVERLAY</t>
  </si>
  <si>
    <t>Momen akibat lapisan aspal + overlay,</t>
  </si>
  <si>
    <t xml:space="preserve">BEBAN MATI TAMBAHAN AKIBAT GENANGAN AIR HUJAN </t>
  </si>
  <si>
    <r>
      <t>M</t>
    </r>
    <r>
      <rPr>
        <vertAlign val="subscript"/>
        <sz val="11"/>
        <color theme="1"/>
        <rFont val="Calibri"/>
        <family val="2"/>
        <scheme val="minor"/>
      </rPr>
      <t>MA-1</t>
    </r>
    <r>
      <rPr>
        <sz val="11"/>
        <color theme="1"/>
        <rFont val="Calibri"/>
        <family val="2"/>
        <charset val="1"/>
        <scheme val="minor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</si>
  <si>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MA-2</t>
    </r>
    <r>
      <rPr>
        <sz val="11"/>
        <color theme="1"/>
        <rFont val="Calibri"/>
        <family val="2"/>
        <charset val="1"/>
        <scheme val="minor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</si>
  <si>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Q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 t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* 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</si>
  <si>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Q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= t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charset val="1"/>
        <scheme val="minor"/>
      </rPr>
      <t xml:space="preserve"> * 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</si>
  <si>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BEBAN LAJUR PADA STRUKTUR JEMBATAN</t>
  </si>
  <si>
    <t>BEBAN LAJUR AKIBAT REM</t>
  </si>
  <si>
    <t>BEBAN LAJUR AKIBAT LAJUR D</t>
  </si>
  <si>
    <t>Nilai beban terbagi rata,</t>
  </si>
  <si>
    <t>Nilai beban garis,</t>
  </si>
  <si>
    <t>BGT =</t>
  </si>
  <si>
    <t>Faktor pembesaran dinamis untuk pembebanan lajur garis,</t>
  </si>
  <si>
    <r>
      <t xml:space="preserve">Panjang bentang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charset val="1"/>
        <scheme val="minor"/>
      </rPr>
      <t xml:space="preserve"> 50 m :</t>
    </r>
  </si>
  <si>
    <t>FBD =</t>
  </si>
  <si>
    <r>
      <t xml:space="preserve">Panjang bentang 50 &lt; L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charset val="1"/>
        <scheme val="minor"/>
      </rPr>
      <t xml:space="preserve"> 90 :</t>
    </r>
  </si>
  <si>
    <t>Panjang bentang &gt; 90 :</t>
  </si>
  <si>
    <r>
      <t>FBD</t>
    </r>
    <r>
      <rPr>
        <vertAlign val="subscript"/>
        <sz val="11"/>
        <color theme="1"/>
        <rFont val="Calibri"/>
        <family val="2"/>
        <scheme val="minor"/>
      </rPr>
      <t>pakai</t>
    </r>
    <r>
      <rPr>
        <sz val="11"/>
        <color theme="1"/>
        <rFont val="Calibri"/>
        <family val="2"/>
        <charset val="1"/>
        <scheme val="minor"/>
      </rPr>
      <t xml:space="preserve"> =</t>
    </r>
  </si>
  <si>
    <t>( 1 + FBD ) * BGT =</t>
  </si>
  <si>
    <t>Berat truk total,</t>
  </si>
  <si>
    <t>TT =</t>
  </si>
  <si>
    <t>BEBAN LAJUR AKIBAT LAJUR T</t>
  </si>
  <si>
    <r>
      <t>Z</t>
    </r>
    <r>
      <rPr>
        <b/>
        <vertAlign val="subscript"/>
        <sz val="10"/>
        <color theme="1"/>
        <rFont val="Calibri Light"/>
        <family val="2"/>
        <scheme val="major"/>
      </rPr>
      <t>o</t>
    </r>
  </si>
  <si>
    <r>
      <t>e</t>
    </r>
    <r>
      <rPr>
        <b/>
        <vertAlign val="subscript"/>
        <sz val="10"/>
        <color theme="1"/>
        <rFont val="Calibri Light"/>
        <family val="2"/>
        <scheme val="major"/>
      </rPr>
      <t>top</t>
    </r>
  </si>
  <si>
    <r>
      <t>e</t>
    </r>
    <r>
      <rPr>
        <b/>
        <vertAlign val="subscript"/>
        <sz val="10"/>
        <color theme="1"/>
        <rFont val="Calibri Light"/>
        <family val="2"/>
        <scheme val="major"/>
      </rPr>
      <t>btm</t>
    </r>
  </si>
  <si>
    <r>
      <t>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  <charset val="1"/>
        <scheme val="minor"/>
      </rPr>
      <t xml:space="preserve"> =</t>
    </r>
  </si>
  <si>
    <t>C.1.</t>
  </si>
  <si>
    <t>C.1.1.</t>
  </si>
  <si>
    <t>C.1.2.</t>
  </si>
  <si>
    <t>C.2.</t>
  </si>
  <si>
    <t>C.3.</t>
  </si>
  <si>
    <t>C.3.1.</t>
  </si>
  <si>
    <t>C.3.2.</t>
  </si>
  <si>
    <t>Tinggi posisi beban rem bekerja,</t>
  </si>
  <si>
    <t>25% dari berat gandar truk desain,</t>
  </si>
  <si>
    <t>5% dari berat truk + BTR,</t>
  </si>
  <si>
    <t>Beban Rem,</t>
  </si>
  <si>
    <t>Lengan terhadap titik berat,</t>
  </si>
  <si>
    <t>y =</t>
  </si>
  <si>
    <t>Beban momen akibat rem,</t>
  </si>
  <si>
    <t>M = TB * y =</t>
  </si>
  <si>
    <t>TB / n =</t>
  </si>
  <si>
    <t>Momen maksimum akibat beban Rem,</t>
  </si>
  <si>
    <r>
      <t>M</t>
    </r>
    <r>
      <rPr>
        <vertAlign val="subscript"/>
        <sz val="11"/>
        <color theme="1"/>
        <rFont val="Calibri"/>
        <family val="2"/>
        <scheme val="minor"/>
      </rPr>
      <t>TB</t>
    </r>
    <r>
      <rPr>
        <sz val="11"/>
        <color theme="1"/>
        <rFont val="Calibri"/>
        <family val="2"/>
        <charset val="1"/>
        <scheme val="minor"/>
      </rPr>
      <t xml:space="preserve"> = 0,5 * M =</t>
    </r>
  </si>
  <si>
    <t>Momen akibat plat lantai dan diapragma,</t>
  </si>
  <si>
    <t>Jumlah diapragma,</t>
  </si>
  <si>
    <t>C.4.</t>
  </si>
  <si>
    <t>BEBAN ANGIN PADA KENDARAAN</t>
  </si>
  <si>
    <t>BEBAN ANGIN PADA KENDARAAN &amp; STRUKTUR JEMBATAN</t>
  </si>
  <si>
    <t>BEBAN ANGIN PADA STRUKTUR</t>
  </si>
  <si>
    <t>Tinggi struktur (Girder, Plat Lantai, Railing Trotoar)</t>
  </si>
  <si>
    <t>Letak titik berat penampang komposit dari bawah,</t>
  </si>
  <si>
    <r>
      <t>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</si>
  <si>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Kecepatan angin gesekan,</t>
  </si>
  <si>
    <r>
      <t>V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</si>
  <si>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km/jam</t>
  </si>
  <si>
    <t>Kecepatan angin pada elevasi 10,00 meter dari permukaan tanah,</t>
  </si>
  <si>
    <r>
      <t>V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</si>
  <si>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Kecepatan angin pada elevasi 1,00 meter dari permukaan jembatan,</t>
  </si>
  <si>
    <r>
      <t>V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</si>
  <si>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Panjang gesekan di hulu jembatan,</t>
  </si>
  <si>
    <r>
      <t>Z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</si>
  <si>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Kecepatan angin rencana,</t>
  </si>
  <si>
    <r>
      <t>V</t>
    </r>
    <r>
      <rPr>
        <vertAlign val="subscript"/>
        <sz val="11"/>
        <color theme="1"/>
        <rFont val="Calibri"/>
        <family val="2"/>
        <scheme val="minor"/>
      </rPr>
      <t>DZ</t>
    </r>
    <r>
      <rPr>
        <sz val="11"/>
        <color theme="1"/>
        <rFont val="Calibri"/>
        <family val="2"/>
        <charset val="1"/>
        <scheme val="minor"/>
      </rPr>
      <t xml:space="preserve"> = 2,5 * V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* ( V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charset val="1"/>
        <scheme val="minor"/>
      </rPr>
      <t xml:space="preserve"> / V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) * Ln  ( Z / Z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) =</t>
    </r>
  </si>
  <si>
    <t>Nilai tekanan angin dasar,</t>
  </si>
  <si>
    <r>
      <t>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</si>
  <si>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N/mm</t>
    </r>
    <r>
      <rPr>
        <vertAlign val="superscript"/>
        <sz val="11"/>
        <color theme="1"/>
        <rFont val="Calibri"/>
        <family val="2"/>
        <scheme val="minor"/>
      </rPr>
      <t>2</t>
    </r>
  </si>
  <si>
    <t>Nilai tekanan angin pada struktur,</t>
  </si>
  <si>
    <r>
      <t>P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* (V</t>
    </r>
    <r>
      <rPr>
        <vertAlign val="subscript"/>
        <sz val="11"/>
        <color theme="1"/>
        <rFont val="Calibri"/>
        <family val="2"/>
        <scheme val="minor"/>
      </rPr>
      <t>DZ</t>
    </r>
    <r>
      <rPr>
        <sz val="11"/>
        <color theme="1"/>
        <rFont val="Calibri"/>
        <family val="2"/>
        <charset val="1"/>
        <scheme val="minor"/>
      </rPr>
      <t xml:space="preserve"> /  V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</si>
  <si>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Beban angin pada struktur,</t>
  </si>
  <si>
    <r>
      <t>E</t>
    </r>
    <r>
      <rPr>
        <vertAlign val="subscript"/>
        <sz val="11"/>
        <color theme="1"/>
        <rFont val="Calibri"/>
        <family val="2"/>
        <scheme val="minor"/>
      </rPr>
      <t>WS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* H =</t>
    </r>
  </si>
  <si>
    <r>
      <t>M</t>
    </r>
    <r>
      <rPr>
        <vertAlign val="subscript"/>
        <sz val="11"/>
        <color theme="1"/>
        <rFont val="Calibri"/>
        <family val="2"/>
        <scheme val="minor"/>
      </rPr>
      <t>EWS</t>
    </r>
    <r>
      <rPr>
        <sz val="11"/>
        <color theme="1"/>
        <rFont val="Calibri"/>
        <family val="2"/>
        <charset val="1"/>
        <scheme val="minor"/>
      </rPr>
      <t xml:space="preserve"> = 1/8 * (EWS/s) *L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</si>
  <si>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  <charset val="1"/>
        <scheme val="minor"/>
      </rPr>
      <t xml:space="preserve"> = ( 1/8 * BTR * L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charset val="1"/>
        <scheme val="minor"/>
      </rPr>
      <t xml:space="preserve"> 1/4 * (1 + FBD) * BGT ) * s * L =</t>
    </r>
  </si>
  <si>
    <t>Asumsi ketinggian beban angin bekerja,</t>
  </si>
  <si>
    <t>Beban merata akibat terpaan pada kendaraan,</t>
  </si>
  <si>
    <r>
      <t>Y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</si>
  <si>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EW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</si>
  <si>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Beban girder akibat angin pada kendaraan,</t>
  </si>
  <si>
    <r>
      <t>Q</t>
    </r>
    <r>
      <rPr>
        <vertAlign val="subscript"/>
        <sz val="11"/>
        <color theme="1"/>
        <rFont val="Calibri"/>
        <family val="2"/>
        <scheme val="minor"/>
      </rPr>
      <t>EW</t>
    </r>
    <r>
      <rPr>
        <sz val="11"/>
        <color theme="1"/>
        <rFont val="Calibri"/>
        <family val="2"/>
        <charset val="1"/>
        <scheme val="minor"/>
      </rPr>
      <t xml:space="preserve"> = 0,5 * Y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charset val="1"/>
        <scheme val="minor"/>
      </rPr>
      <t xml:space="preserve"> / x * T</t>
    </r>
    <r>
      <rPr>
        <vertAlign val="subscript"/>
        <sz val="11"/>
        <color theme="1"/>
        <rFont val="Calibri"/>
        <family val="2"/>
        <scheme val="minor"/>
      </rPr>
      <t>EW</t>
    </r>
    <r>
      <rPr>
        <sz val="11"/>
        <color theme="1"/>
        <rFont val="Calibri"/>
        <family val="2"/>
        <charset val="1"/>
        <scheme val="minor"/>
      </rPr>
      <t xml:space="preserve"> =</t>
    </r>
  </si>
  <si>
    <t>Jarak antar garda ban,</t>
  </si>
  <si>
    <t>x =</t>
  </si>
  <si>
    <t>Momen akibat beban angin pada girder,</t>
  </si>
  <si>
    <t>Momen akibat beban angin pada kendaraan,</t>
  </si>
  <si>
    <r>
      <t>M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  <charset val="1"/>
        <scheme val="minor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  <charset val="1"/>
        <scheme val="minor"/>
      </rPr>
      <t xml:space="preserve"> *L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</si>
  <si>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t>C.5.</t>
  </si>
  <si>
    <t>BEBAN MATI AKIBAT PC I GIRDER JEMBATAN</t>
  </si>
  <si>
    <t>Berat jenis material beton PC I Girder,</t>
  </si>
  <si>
    <t>Beban mati akibat PC I Girder,</t>
  </si>
  <si>
    <r>
      <t>Q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  <charset val="1"/>
        <scheme val="minor"/>
      </rPr>
      <t xml:space="preserve"> = A * 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</si>
  <si>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</si>
  <si>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MS-2</t>
    </r>
    <r>
      <rPr>
        <sz val="11"/>
        <color theme="1"/>
        <rFont val="Calibri"/>
        <family val="2"/>
        <charset val="1"/>
        <scheme val="minor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MS</t>
    </r>
    <r>
      <rPr>
        <sz val="11"/>
        <color theme="1"/>
        <rFont val="Calibri"/>
        <family val="2"/>
        <charset val="1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</si>
  <si>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t>C.1.3.</t>
  </si>
  <si>
    <r>
      <t>M</t>
    </r>
    <r>
      <rPr>
        <vertAlign val="subscript"/>
        <sz val="11"/>
        <color theme="1"/>
        <rFont val="Calibri"/>
        <family val="2"/>
        <scheme val="minor"/>
      </rPr>
      <t>MS-3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</si>
  <si>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</si>
  <si>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BEBAN PRATEGANG PADA PC I GIRDER</t>
  </si>
  <si>
    <t>Gaya prategang akhir setelah kehilangan tegangan,</t>
  </si>
  <si>
    <t>Eksentrisitas tendon ditengah bentang,</t>
  </si>
  <si>
    <t>Eksentrisitas tendon ditepi bentang,</t>
  </si>
  <si>
    <t>e' =</t>
  </si>
  <si>
    <t>Ketinggian parabola tendon prategang,</t>
  </si>
  <si>
    <t>h = |e|+|e'|=</t>
  </si>
  <si>
    <t>Beban merata akibat tendon prategang,</t>
  </si>
  <si>
    <r>
      <t>Q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8 *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* h /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</si>
  <si>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Momen akibat tendon prategang,</t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</si>
  <si>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*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</si>
  <si>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t>C.6.</t>
  </si>
  <si>
    <t>REKAPITULASI MOMEN PADA STRUKTUR JEMBATAN</t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</si>
  <si>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</si>
  <si>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  <charset val="1"/>
        <scheme val="minor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</si>
  <si>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TB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</si>
  <si>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</si>
  <si>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EWS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</si>
  <si>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Momen akibat kombinasi Layan 1,</t>
  </si>
  <si>
    <r>
      <t>M</t>
    </r>
    <r>
      <rPr>
        <vertAlign val="subscript"/>
        <sz val="11"/>
        <color theme="1"/>
        <rFont val="Calibri"/>
        <family val="2"/>
        <scheme val="minor"/>
      </rPr>
      <t>LAYAN 1</t>
    </r>
    <r>
      <rPr>
        <sz val="11"/>
        <color theme="1"/>
        <rFont val="Calibri"/>
        <family val="2"/>
        <charset val="1"/>
        <scheme val="minor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  <charset val="1"/>
        <scheme val="minor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TB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EWL</t>
    </r>
    <r>
      <rPr>
        <sz val="11"/>
        <color theme="1"/>
        <rFont val="Calibri"/>
        <family val="2"/>
        <charset val="1"/>
        <scheme val="minor"/>
      </rPr>
      <t xml:space="preserve"> + 0,3 * M</t>
    </r>
    <r>
      <rPr>
        <vertAlign val="subscript"/>
        <sz val="11"/>
        <color theme="1"/>
        <rFont val="Calibri"/>
        <family val="2"/>
        <scheme val="minor"/>
      </rPr>
      <t>WS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</si>
  <si>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Momen akibat kombinasi Layan 3,</t>
  </si>
  <si>
    <t>A.7.</t>
  </si>
  <si>
    <t>DATA MOMEN HASIL PROGRAM BANTU</t>
  </si>
  <si>
    <r>
      <t>M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</si>
  <si>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layan 1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</si>
  <si>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layan 3</t>
    </r>
    <r>
      <rPr>
        <sz val="11"/>
        <color theme="1"/>
        <rFont val="Calibri"/>
        <family val="2"/>
        <charset val="1"/>
        <scheme val="minor"/>
      </rPr>
      <t xml:space="preserve"> =</t>
    </r>
  </si>
  <si>
    <t>H.1.</t>
  </si>
  <si>
    <t>H.2.</t>
  </si>
  <si>
    <r>
      <t>M</t>
    </r>
    <r>
      <rPr>
        <vertAlign val="subscript"/>
        <sz val="11"/>
        <color theme="1"/>
        <rFont val="Calibri"/>
        <family val="2"/>
        <scheme val="minor"/>
      </rPr>
      <t>balok+plat+D</t>
    </r>
    <r>
      <rPr>
        <sz val="11"/>
        <color theme="1"/>
        <rFont val="Calibri"/>
        <family val="2"/>
        <scheme val="minor"/>
      </rPr>
      <t xml:space="preserve"> =</t>
    </r>
  </si>
  <si>
    <t>Momen pada balok akibat berat sendiri + plat + diapragma,</t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</si>
  <si>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</si>
  <si>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δ</t>
    </r>
    <r>
      <rPr>
        <vertAlign val="subscript"/>
        <sz val="11"/>
        <color theme="1"/>
        <rFont val="Calibri"/>
        <family val="2"/>
        <scheme val="minor"/>
      </rPr>
      <t>layan-1</t>
    </r>
    <r>
      <rPr>
        <sz val="11"/>
        <color theme="1"/>
        <rFont val="Calibri"/>
        <family val="2"/>
        <scheme val="minor"/>
      </rPr>
      <t xml:space="preserve"> = </t>
    </r>
    <r>
      <rPr>
        <sz val="11"/>
        <color theme="1"/>
        <rFont val="Calibri"/>
        <family val="2"/>
      </rPr>
      <t>δ</t>
    </r>
    <r>
      <rPr>
        <vertAlign val="subscript"/>
        <sz val="11"/>
        <color theme="1"/>
        <rFont val="Calibri"/>
        <family val="2"/>
      </rPr>
      <t>MS</t>
    </r>
    <r>
      <rPr>
        <sz val="11"/>
        <color theme="1"/>
        <rFont val="Calibri"/>
        <family val="2"/>
      </rPr>
      <t xml:space="preserve"> + δ</t>
    </r>
    <r>
      <rPr>
        <vertAlign val="subscript"/>
        <sz val="11"/>
        <color theme="1"/>
        <rFont val="Calibri"/>
        <family val="2"/>
      </rPr>
      <t>MA</t>
    </r>
    <r>
      <rPr>
        <sz val="11"/>
        <color theme="1"/>
        <rFont val="Calibri"/>
        <family val="2"/>
      </rPr>
      <t xml:space="preserve"> + δ</t>
    </r>
    <r>
      <rPr>
        <vertAlign val="subscript"/>
        <sz val="11"/>
        <color theme="1"/>
        <rFont val="Calibri"/>
        <family val="2"/>
      </rPr>
      <t>PR</t>
    </r>
    <r>
      <rPr>
        <sz val="11"/>
        <color theme="1"/>
        <rFont val="Calibri"/>
        <family val="2"/>
      </rPr>
      <t xml:space="preserve"> + δ</t>
    </r>
    <r>
      <rPr>
        <vertAlign val="subscript"/>
        <sz val="11"/>
        <color theme="1"/>
        <rFont val="Calibri"/>
        <family val="2"/>
      </rPr>
      <t>TD/TT</t>
    </r>
    <r>
      <rPr>
        <sz val="11"/>
        <color theme="1"/>
        <rFont val="Calibri"/>
        <family val="2"/>
      </rPr>
      <t xml:space="preserve"> + δ</t>
    </r>
    <r>
      <rPr>
        <vertAlign val="subscript"/>
        <sz val="11"/>
        <color theme="1"/>
        <rFont val="Calibri"/>
        <family val="2"/>
      </rPr>
      <t>TB + δEW</t>
    </r>
    <r>
      <rPr>
        <sz val="11"/>
        <color theme="1"/>
        <rFont val="Calibri"/>
        <family val="2"/>
      </rPr>
      <t xml:space="preserve"> =</t>
    </r>
  </si>
  <si>
    <t>LENDUTAN PADA BALOK PRESTRESS SETELAH COMPOSIT</t>
  </si>
  <si>
    <t>LENDUTAN PADA BALOK PRESTRESS (SEBELUM COMPOSIT)</t>
  </si>
  <si>
    <t>J.1.</t>
  </si>
  <si>
    <t>RASIO LUAS PENAMPANG BAJA PRESTRESS</t>
  </si>
  <si>
    <t>NILAI REGANGAN BAJA PRESTRESS</t>
  </si>
  <si>
    <t>J.3.</t>
  </si>
  <si>
    <t xml:space="preserve">NILAI KAPASITAS MOMEN ULTIMIT BALOK PRESTRESS </t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</si>
  <si>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</si>
  <si>
    <r>
      <t>ɸ * M</t>
    </r>
    <r>
      <rPr>
        <vertAlign val="subscript"/>
        <sz val="11"/>
        <color theme="1"/>
        <rFont val="Calibri"/>
        <family val="2"/>
        <scheme val="minor"/>
      </rPr>
      <t>n</t>
    </r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</si>
  <si>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</si>
  <si>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Momen akibat kombinasi Ekstrim,</t>
  </si>
  <si>
    <t>Dead End Anchorage VSL Type H</t>
  </si>
  <si>
    <t>-</t>
  </si>
  <si>
    <t>Momen envelope kombinasi Kuat &amp; Ekstrim (PB),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</si>
  <si>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S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</si>
  <si>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A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</si>
  <si>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PR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</si>
  <si>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TD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</si>
  <si>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TB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</si>
  <si>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EWL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</si>
  <si>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EWS</t>
    </r>
  </si>
  <si>
    <t>LAYAN 1</t>
  </si>
  <si>
    <t>KUAT 1</t>
  </si>
  <si>
    <t>KUAT 2</t>
  </si>
  <si>
    <t>KUAT 3</t>
  </si>
  <si>
    <t>KUAT 4</t>
  </si>
  <si>
    <t>KUAT 5</t>
  </si>
  <si>
    <t>ENVE KUAT</t>
  </si>
  <si>
    <t>GAYA DALAM BIDANG MOMEN</t>
  </si>
  <si>
    <t>GAYA DALAM BIDANG GESER</t>
  </si>
  <si>
    <t>H.3.</t>
  </si>
  <si>
    <t>H.4.</t>
  </si>
  <si>
    <t>H.5.</t>
  </si>
  <si>
    <t>Kn.m</t>
  </si>
  <si>
    <t>B.1.</t>
  </si>
  <si>
    <t>B.2.</t>
  </si>
  <si>
    <t>B.3.</t>
  </si>
  <si>
    <t>NO.</t>
  </si>
  <si>
    <t>EXPLANATORY</t>
  </si>
  <si>
    <t>FORMULA</t>
  </si>
  <si>
    <t>VALUE</t>
  </si>
  <si>
    <t>UNIT</t>
  </si>
  <si>
    <r>
      <t>f</t>
    </r>
    <r>
      <rPr>
        <vertAlign val="subscript"/>
        <sz val="11"/>
        <rFont val="Calibri"/>
        <family val="2"/>
      </rPr>
      <t>ci</t>
    </r>
    <r>
      <rPr>
        <sz val="11"/>
        <rFont val="Calibri"/>
        <family val="2"/>
      </rPr>
      <t xml:space="preserve"> = 0,8 * fc' =</t>
    </r>
  </si>
  <si>
    <t>Tebal diapragma,</t>
  </si>
  <si>
    <r>
      <t>w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</si>
  <si>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 0,25 * TT =</t>
    </r>
  </si>
  <si>
    <r>
      <t>TB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 5% * ( TT + BTR * L * b ) =</t>
    </r>
  </si>
  <si>
    <t>Beban rem yang berpengaruh,</t>
  </si>
  <si>
    <t>TB =</t>
  </si>
  <si>
    <t>Jumlah balok PC I Girder,</t>
  </si>
  <si>
    <t>Jarak antara balok PC I Girder,</t>
  </si>
  <si>
    <t>A.8.</t>
  </si>
  <si>
    <t>DATA KONDISI PEMBEBANAN ANGIN PADA LOKASI JEMBATAN</t>
  </si>
  <si>
    <t>C.7.</t>
  </si>
  <si>
    <t>C.8.</t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</si>
  <si>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 1/4 * 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charset val="1"/>
      </rPr>
      <t xml:space="preserve"> * D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charset val="1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</si>
  <si>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t1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</si>
  <si>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t2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</si>
  <si>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t3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</si>
  <si>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t4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</si>
  <si>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</si>
  <si>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i</t>
    </r>
  </si>
  <si>
    <r>
      <t>z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-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</si>
  <si>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</si>
  <si>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- d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</si>
  <si>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= 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* (z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- a) / n</t>
    </r>
    <r>
      <rPr>
        <vertAlign val="subscript"/>
        <sz val="11"/>
        <color theme="1"/>
        <rFont val="Calibri"/>
        <family val="2"/>
        <scheme val="minor"/>
      </rPr>
      <t>s1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</si>
  <si>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>'</t>
    </r>
  </si>
  <si>
    <r>
      <t>n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* 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>'</t>
    </r>
  </si>
  <si>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</rPr>
      <t xml:space="preserve"> [ </t>
    </r>
    <r>
      <rPr>
        <sz val="11"/>
        <color theme="1"/>
        <rFont val="Calibri"/>
        <family val="2"/>
        <charset val="1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* 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>' ]=</t>
    </r>
  </si>
  <si>
    <r>
      <t>y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=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- a' =</t>
    </r>
  </si>
  <si>
    <r>
      <t>y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>' = [</t>
    </r>
    <r>
      <rPr>
        <sz val="11"/>
        <color theme="1"/>
        <rFont val="Calibri"/>
        <family val="2"/>
      </rPr>
      <t>Ʃ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charset val="1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charset val="1"/>
        <scheme val="minor"/>
      </rPr>
      <t>* 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>' ] / 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</si>
  <si>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>' = y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/ [ y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/ 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>' ] =</t>
    </r>
  </si>
  <si>
    <r>
      <t>z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 a' + y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=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</si>
  <si>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Z</t>
    </r>
    <r>
      <rPr>
        <b/>
        <vertAlign val="subscript"/>
        <sz val="11"/>
        <color theme="1"/>
        <rFont val="Calibri Light"/>
        <family val="2"/>
        <scheme val="major"/>
      </rPr>
      <t>i</t>
    </r>
    <r>
      <rPr>
        <b/>
        <sz val="11"/>
        <color theme="1"/>
        <rFont val="Calibri Light"/>
        <family val="2"/>
        <scheme val="major"/>
      </rPr>
      <t>'</t>
    </r>
  </si>
  <si>
    <r>
      <t>Z</t>
    </r>
    <r>
      <rPr>
        <b/>
        <vertAlign val="subscript"/>
        <sz val="11"/>
        <color theme="1"/>
        <rFont val="Calibri Light"/>
        <family val="2"/>
        <scheme val="major"/>
      </rPr>
      <t>i</t>
    </r>
  </si>
  <si>
    <r>
      <t>f</t>
    </r>
    <r>
      <rPr>
        <b/>
        <vertAlign val="subscript"/>
        <sz val="11"/>
        <color theme="1"/>
        <rFont val="Calibri Light"/>
        <family val="2"/>
        <scheme val="major"/>
      </rPr>
      <t>i</t>
    </r>
    <r>
      <rPr>
        <b/>
        <sz val="11"/>
        <color theme="1"/>
        <rFont val="Calibri Light"/>
        <family val="2"/>
        <scheme val="major"/>
      </rPr>
      <t xml:space="preserve"> = Z</t>
    </r>
    <r>
      <rPr>
        <b/>
        <vertAlign val="subscript"/>
        <sz val="11"/>
        <color theme="1"/>
        <rFont val="Calibri Light"/>
        <family val="2"/>
        <scheme val="major"/>
      </rPr>
      <t>i</t>
    </r>
    <r>
      <rPr>
        <b/>
        <sz val="11"/>
        <color theme="1"/>
        <rFont val="Calibri Light"/>
        <family val="2"/>
        <scheme val="major"/>
      </rPr>
      <t>' - Z</t>
    </r>
    <r>
      <rPr>
        <b/>
        <vertAlign val="subscript"/>
        <sz val="11"/>
        <color theme="1"/>
        <rFont val="Calibri Light"/>
        <family val="2"/>
        <scheme val="major"/>
      </rPr>
      <t>i</t>
    </r>
  </si>
  <si>
    <r>
      <t>dY/dX = 4 * f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"/>
        <scheme val="minor"/>
      </rPr>
      <t xml:space="preserve"> * ( L - 2 * X) / L</t>
    </r>
    <r>
      <rPr>
        <vertAlign val="superscript"/>
        <sz val="11"/>
        <color theme="1"/>
        <rFont val="Calibri"/>
        <family val="2"/>
        <scheme val="minor"/>
      </rPr>
      <t>2</t>
    </r>
  </si>
  <si>
    <r>
      <t>f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</si>
  <si>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charset val="1"/>
        <scheme val="minor"/>
      </rPr>
      <t>_x0002_ = TAN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charset val="1"/>
        <scheme val="minor"/>
      </rPr>
      <t xml:space="preserve"> (dY/dX)</t>
    </r>
  </si>
  <si>
    <r>
      <t>dengan, f = e</t>
    </r>
    <r>
      <rPr>
        <vertAlign val="subscript"/>
        <sz val="11"/>
        <color theme="1"/>
        <rFont val="Calibri"/>
        <family val="2"/>
        <scheme val="minor"/>
      </rPr>
      <t>s</t>
    </r>
  </si>
  <si>
    <t>Kontrol kehilangan gaya prategang total terhadap asumsi awal,</t>
  </si>
  <si>
    <t>Kontrol tengan yang terjadi pada tegangan ijin tendon baja pasca tarik,</t>
  </si>
  <si>
    <r>
      <t>( 1 -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) * 100%</t>
    </r>
  </si>
  <si>
    <t>LENDUTAN TOTAL BERDASARKAN BEBAN LAJUR</t>
  </si>
  <si>
    <t>L/800</t>
  </si>
  <si>
    <r>
      <t>δ</t>
    </r>
    <r>
      <rPr>
        <vertAlign val="subscript"/>
        <sz val="11"/>
        <color theme="1"/>
        <rFont val="Calibri"/>
        <family val="2"/>
        <scheme val="minor"/>
      </rPr>
      <t>lajur</t>
    </r>
    <r>
      <rPr>
        <sz val="11"/>
        <color theme="1"/>
        <rFont val="Calibri"/>
        <family val="2"/>
        <scheme val="minor"/>
      </rPr>
      <t xml:space="preserve">= </t>
    </r>
    <r>
      <rPr>
        <sz val="11"/>
        <color theme="1"/>
        <rFont val="Calibri"/>
        <family val="2"/>
      </rPr>
      <t>δ</t>
    </r>
    <r>
      <rPr>
        <vertAlign val="subscript"/>
        <sz val="11"/>
        <color theme="1"/>
        <rFont val="Calibri"/>
        <family val="2"/>
      </rPr>
      <t>TD/TT</t>
    </r>
    <r>
      <rPr>
        <sz val="11"/>
        <color theme="1"/>
        <rFont val="Calibri"/>
        <family val="2"/>
      </rPr>
      <t xml:space="preserve"> + δ</t>
    </r>
    <r>
      <rPr>
        <vertAlign val="subscript"/>
        <sz val="11"/>
        <color theme="1"/>
        <rFont val="Calibri"/>
        <family val="2"/>
      </rPr>
      <t>TB</t>
    </r>
    <r>
      <rPr>
        <sz val="11"/>
        <color theme="1"/>
        <rFont val="Calibri"/>
        <family val="2"/>
      </rPr>
      <t xml:space="preserve"> =</t>
    </r>
  </si>
  <si>
    <t>Lendutan berdasarkan beban lajur,</t>
  </si>
  <si>
    <t>Tegangan ijin beton saat jacking :</t>
  </si>
  <si>
    <t>Kontrol jarak bersih vertikal antara selubung tendon dengan syarat jarak maksimum,</t>
  </si>
  <si>
    <r>
      <t>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- d</t>
    </r>
    <r>
      <rPr>
        <vertAlign val="subscript"/>
        <sz val="11"/>
        <color theme="1"/>
        <rFont val="Calibri"/>
        <family val="2"/>
        <scheme val="minor"/>
      </rPr>
      <t>t</t>
    </r>
  </si>
  <si>
    <r>
      <t>y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'</t>
    </r>
  </si>
  <si>
    <r>
      <t>n</t>
    </r>
    <r>
      <rPr>
        <vertAlign val="subscript"/>
        <sz val="11"/>
        <color theme="1"/>
        <rFont val="Calibri"/>
        <family val="2"/>
        <scheme val="minor"/>
      </rPr>
      <t>s1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</si>
  <si>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s2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</si>
  <si>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s3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</si>
  <si>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s34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</si>
  <si>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plat+D</t>
    </r>
    <r>
      <rPr>
        <sz val="11"/>
        <color theme="1"/>
        <rFont val="Calibri"/>
        <family val="2"/>
        <scheme val="minor"/>
      </rPr>
      <t xml:space="preserve"> =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</si>
  <si>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         </t>
    </r>
  </si>
  <si>
    <r>
      <t>Untuk   :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' 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 xml:space="preserve">  55 MPa,</t>
    </r>
  </si>
  <si>
    <t xml:space="preserve">Faktor bentuk distribusi tegangan beton,            </t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</si>
  <si>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0,85 - 0,008 * (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- 30) =</t>
    </r>
  </si>
  <si>
    <r>
      <t>Untuk   :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≤  30 MPa,</t>
    </r>
  </si>
  <si>
    <r>
      <t>Untuk   :  30  &lt;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&lt;  55 MPa,</t>
    </r>
  </si>
  <si>
    <t>Diambil kuat leleh baja prategang,</t>
  </si>
  <si>
    <t>Kontrol syarat perbandingan panjang bentang dan tinggi balok PC I Girder,</t>
  </si>
  <si>
    <t>L / H</t>
  </si>
  <si>
    <r>
      <t>f</t>
    </r>
    <r>
      <rPr>
        <vertAlign val="subscript"/>
        <sz val="11"/>
        <color theme="1"/>
        <rFont val="Calibri"/>
        <family val="2"/>
        <scheme val="minor"/>
      </rPr>
      <t xml:space="preserve">eff </t>
    </r>
    <r>
      <rPr>
        <sz val="11"/>
        <color theme="1"/>
        <rFont val="Calibri"/>
        <family val="2"/>
        <scheme val="minor"/>
      </rPr>
      <t>=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/ A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</si>
  <si>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ci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</si>
  <si>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/ ( 80% * P</t>
    </r>
    <r>
      <rPr>
        <vertAlign val="subscript"/>
        <sz val="11"/>
        <color theme="1"/>
        <rFont val="Calibri"/>
        <family val="2"/>
        <scheme val="minor"/>
      </rPr>
      <t>bs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"/>
        <scheme val="minor"/>
      </rPr>
      <t>) =</t>
    </r>
  </si>
  <si>
    <r>
      <t>f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 xml:space="preserve">eff </t>
    </r>
    <r>
      <rPr>
        <sz val="11"/>
        <color theme="1"/>
        <rFont val="Calibri"/>
        <family val="2"/>
        <scheme val="minor"/>
      </rPr>
      <t>+ 70 + 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 / (100 * ρ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 =</t>
    </r>
  </si>
  <si>
    <r>
      <t>f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py</t>
    </r>
    <r>
      <rPr>
        <sz val="11"/>
        <color theme="1"/>
        <rFont val="Calibri"/>
        <family val="2"/>
        <scheme val="minor"/>
      </rPr>
      <t xml:space="preserve"> =</t>
    </r>
  </si>
  <si>
    <t>Perbandingan batas leleh dan kuat putus strand,</t>
  </si>
  <si>
    <r>
      <t>f</t>
    </r>
    <r>
      <rPr>
        <vertAlign val="subscript"/>
        <sz val="11"/>
        <color theme="1"/>
        <rFont val="Calibri"/>
        <family val="2"/>
        <scheme val="minor"/>
      </rPr>
      <t>py</t>
    </r>
    <r>
      <rPr>
        <sz val="11"/>
        <color theme="1"/>
        <rFont val="Calibri"/>
        <family val="2"/>
        <scheme val="minor"/>
      </rPr>
      <t xml:space="preserve"> / f</t>
    </r>
    <r>
      <rPr>
        <vertAlign val="subscript"/>
        <sz val="11"/>
        <color theme="1"/>
        <rFont val="Calibri"/>
        <family val="2"/>
        <scheme val="minor"/>
      </rPr>
      <t>pu</t>
    </r>
    <r>
      <rPr>
        <sz val="11"/>
        <color theme="1"/>
        <rFont val="Calibri"/>
        <family val="2"/>
        <scheme val="minor"/>
      </rPr>
      <t xml:space="preserve"> =</t>
    </r>
  </si>
  <si>
    <t>Faktor untuk tipe strand,</t>
  </si>
  <si>
    <r>
      <t>ϒ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=</t>
    </r>
  </si>
  <si>
    <t xml:space="preserve">Kuat leleh baja prestress pada keadaan ultimit,
</t>
  </si>
  <si>
    <r>
      <t>f</t>
    </r>
    <r>
      <rPr>
        <vertAlign val="subscript"/>
        <sz val="11"/>
        <color theme="1"/>
        <rFont val="Calibri"/>
        <family val="2"/>
      </rPr>
      <t>ps</t>
    </r>
    <r>
      <rPr>
        <sz val="11"/>
        <color theme="1"/>
        <rFont val="Calibri"/>
        <family val="2"/>
      </rPr>
      <t xml:space="preserve"> = f</t>
    </r>
    <r>
      <rPr>
        <vertAlign val="subscript"/>
        <sz val="11"/>
        <color theme="1"/>
        <rFont val="Calibri"/>
        <family val="2"/>
      </rPr>
      <t>pu</t>
    </r>
    <r>
      <rPr>
        <sz val="11"/>
        <color theme="1"/>
        <rFont val="Calibri"/>
        <family val="2"/>
      </rPr>
      <t xml:space="preserve"> * (1 - ρ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* (ϒ</t>
    </r>
    <r>
      <rPr>
        <vertAlign val="subscript"/>
        <sz val="11"/>
        <color theme="1"/>
        <rFont val="Calibri"/>
        <family val="2"/>
      </rPr>
      <t>p</t>
    </r>
    <r>
      <rPr>
        <sz val="11"/>
        <color theme="1"/>
        <rFont val="Calibri"/>
        <family val="2"/>
      </rPr>
      <t xml:space="preserve"> / β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) * (f</t>
    </r>
    <r>
      <rPr>
        <vertAlign val="subscript"/>
        <sz val="11"/>
        <color theme="1"/>
        <rFont val="Calibri"/>
        <family val="2"/>
      </rPr>
      <t>pu</t>
    </r>
    <r>
      <rPr>
        <sz val="11"/>
        <color theme="1"/>
        <rFont val="Calibri"/>
        <family val="2"/>
      </rPr>
      <t xml:space="preserve"> / f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')) =</t>
    </r>
  </si>
  <si>
    <t>Komponen struktur prategang,</t>
  </si>
  <si>
    <r>
      <t>f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+ 420 =</t>
    </r>
  </si>
  <si>
    <r>
      <t>P</t>
    </r>
    <r>
      <rPr>
        <vertAlign val="subscript"/>
        <sz val="11"/>
        <color theme="1"/>
        <rFont val="Calibri"/>
        <family val="2"/>
        <scheme val="minor"/>
      </rPr>
      <t>o</t>
    </r>
  </si>
  <si>
    <r>
      <t>n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/ ( 94 % * f</t>
    </r>
    <r>
      <rPr>
        <vertAlign val="subscript"/>
        <sz val="11"/>
        <color theme="1"/>
        <rFont val="Calibri"/>
        <family val="2"/>
        <scheme val="minor"/>
      </rPr>
      <t>py</t>
    </r>
    <r>
      <rPr>
        <sz val="11"/>
        <color theme="1"/>
        <rFont val="Calibri"/>
        <family val="2"/>
        <charset val="1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charset val="1"/>
        <scheme val="minor"/>
      </rPr>
      <t xml:space="preserve"> ) =</t>
    </r>
  </si>
  <si>
    <t>A.9.</t>
  </si>
  <si>
    <r>
      <t>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= 97% * P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</si>
  <si>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Untuk, 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</si>
  <si>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charset val="1"/>
        <scheme val="minor"/>
      </rPr>
      <t xml:space="preserve"> * e </t>
    </r>
    <r>
      <rPr>
        <vertAlign val="superscript"/>
        <sz val="11"/>
        <color theme="1"/>
        <rFont val="Calibri"/>
        <family val="2"/>
        <scheme val="minor"/>
      </rPr>
      <t>-( μ*</t>
    </r>
    <r>
      <rPr>
        <vertAlign val="superscript"/>
        <sz val="11"/>
        <color theme="1"/>
        <rFont val="Calibri"/>
        <family val="2"/>
      </rPr>
      <t xml:space="preserve">α 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vertAlign val="superscript"/>
        <sz val="11"/>
        <color theme="1"/>
        <rFont val="Calibri"/>
        <family val="2"/>
      </rPr>
      <t>k</t>
    </r>
    <r>
      <rPr>
        <vertAlign val="superscript"/>
        <sz val="11"/>
        <color theme="1"/>
        <rFont val="Calibri"/>
        <family val="2"/>
        <scheme val="minor"/>
      </rPr>
      <t>*Lx )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</si>
  <si>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Persamaan kesetimbangan gaya dalam,</t>
  </si>
  <si>
    <r>
      <t>C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   = X * 0,85 * fc'</t>
    </r>
  </si>
  <si>
    <r>
      <t>X = 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/ ( 0,85 * 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') =</t>
    </r>
  </si>
  <si>
    <t>Keterangan posisi garis netral,</t>
  </si>
  <si>
    <t>Tinggi blok tegangan persegi ekivalen,</t>
  </si>
  <si>
    <t>Luas area blok yang terpangaruh kondisi tekan beton,</t>
  </si>
  <si>
    <t>Posisi titik berat dari area blok yang terpengaruh kondisi tekan,</t>
  </si>
  <si>
    <t>0,5 * a =</t>
  </si>
  <si>
    <t>Lebar blok tengan persegi ekivalen,</t>
  </si>
  <si>
    <t>Gaya dalam kondisi tekan pada beton,</t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</si>
  <si>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</si>
  <si>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Kontrol nilai momen ultimit terhadap kapasitas momen balok prestress,</t>
  </si>
  <si>
    <r>
      <t>ε</t>
    </r>
    <r>
      <rPr>
        <vertAlign val="subscript"/>
        <sz val="11"/>
        <rFont val="Calibri"/>
        <family val="2"/>
        <scheme val="minor"/>
      </rPr>
      <t>ps</t>
    </r>
  </si>
  <si>
    <t>Syarat tegangan untuk baja prategang :</t>
  </si>
  <si>
    <r>
      <t>c berada di wilayah h</t>
    </r>
    <r>
      <rPr>
        <vertAlign val="subscript"/>
        <sz val="11"/>
        <color theme="1"/>
        <rFont val="Calibri"/>
        <family val="2"/>
        <scheme val="minor"/>
      </rPr>
      <t>0</t>
    </r>
  </si>
  <si>
    <r>
      <t>c berada di wilayah h</t>
    </r>
    <r>
      <rPr>
        <vertAlign val="subscript"/>
        <sz val="11"/>
        <color theme="1"/>
        <rFont val="Calibri"/>
        <family val="2"/>
        <scheme val="minor"/>
      </rPr>
      <t>1</t>
    </r>
  </si>
  <si>
    <r>
      <t>c berada di wilayah h</t>
    </r>
    <r>
      <rPr>
        <vertAlign val="subscript"/>
        <sz val="11"/>
        <color theme="1"/>
        <rFont val="Calibri"/>
        <family val="2"/>
        <scheme val="minor"/>
      </rPr>
      <t>2</t>
    </r>
  </si>
  <si>
    <r>
      <t>c berada di wilayah h</t>
    </r>
    <r>
      <rPr>
        <vertAlign val="subscript"/>
        <sz val="11"/>
        <color theme="1"/>
        <rFont val="Calibri"/>
        <family val="2"/>
        <scheme val="minor"/>
      </rPr>
      <t>3</t>
    </r>
  </si>
  <si>
    <r>
      <t>c berada di wilayah h</t>
    </r>
    <r>
      <rPr>
        <vertAlign val="subscript"/>
        <sz val="11"/>
        <color theme="1"/>
        <rFont val="Calibri"/>
        <family val="2"/>
        <scheme val="minor"/>
      </rPr>
      <t>4</t>
    </r>
  </si>
  <si>
    <t>indrakrajsuweda@gmail.com</t>
  </si>
  <si>
    <t>Gaya prategang setelah kehilangan gaya akibat pengangkuran,</t>
  </si>
  <si>
    <t>Dengan Lekatan (Bounded)</t>
  </si>
  <si>
    <r>
      <t>f</t>
    </r>
    <r>
      <rPr>
        <vertAlign val="subscript"/>
        <sz val="11"/>
        <rFont val="Calibri"/>
        <family val="2"/>
        <scheme val="minor"/>
      </rPr>
      <t>py</t>
    </r>
    <r>
      <rPr>
        <sz val="11"/>
        <rFont val="Calibri"/>
        <family val="2"/>
        <scheme val="minor"/>
      </rPr>
      <t xml:space="preserve"> / E</t>
    </r>
    <r>
      <rPr>
        <vertAlign val="subscript"/>
        <sz val="11"/>
        <rFont val="Calibri"/>
        <family val="2"/>
        <scheme val="minor"/>
      </rPr>
      <t>s</t>
    </r>
  </si>
  <si>
    <t>Elevasi permukaan lapisan aspal dari permukaan tanah terdalam,</t>
  </si>
  <si>
    <t>Diameter tulangan sengkang,</t>
  </si>
  <si>
    <t xml:space="preserve">*Kondisi ideal </t>
  </si>
  <si>
    <r>
      <t>f</t>
    </r>
    <r>
      <rPr>
        <vertAlign val="subscript"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A +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</si>
  <si>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cb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A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</si>
  <si>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</si>
  <si>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</si>
  <si>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Posisi Tendon di Tengah Bentang</t>
  </si>
  <si>
    <t>Judul Program</t>
  </si>
  <si>
    <t>Versi Program</t>
  </si>
  <si>
    <t>Update ke 0</t>
  </si>
  <si>
    <t>Juli 2021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</si>
  <si>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</si>
  <si>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</si>
  <si>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</si>
  <si>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</si>
  <si>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</si>
  <si>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</si>
  <si>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</si>
  <si>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</si>
  <si>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Perencanaan Bentang Jembatan PC I Girder</t>
  </si>
  <si>
    <t>H</t>
  </si>
  <si>
    <t>I</t>
  </si>
  <si>
    <t>J</t>
  </si>
  <si>
    <t>K</t>
  </si>
  <si>
    <t>L</t>
  </si>
  <si>
    <t>M</t>
  </si>
  <si>
    <t>O</t>
  </si>
  <si>
    <t>P</t>
  </si>
  <si>
    <t>Q</t>
  </si>
  <si>
    <t>N</t>
  </si>
  <si>
    <t>Max val.</t>
  </si>
  <si>
    <t>BM</t>
  </si>
  <si>
    <t>PC I H-210</t>
  </si>
  <si>
    <t>Kekakuan struktur terhadap gaya horizontal,</t>
  </si>
  <si>
    <t>Modulus elastisitas beton,</t>
  </si>
  <si>
    <t>Momen inesia penampang komposit terhadap titik berat pada sumbu x,</t>
  </si>
  <si>
    <r>
      <t>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 4700 * 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charset val="1"/>
      </rPr>
      <t>(f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1"/>
      </rPr>
      <t>') =</t>
    </r>
  </si>
  <si>
    <r>
      <t>W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=</t>
    </r>
  </si>
  <si>
    <t>Lebar efektif pelat lantai,</t>
  </si>
  <si>
    <r>
      <t>B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</si>
  <si>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Berat beban lajur pada struktur girder,</t>
  </si>
  <si>
    <r>
      <t>W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</si>
  <si>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Berat beban mati dan mati tambahan struktur girder,</t>
  </si>
  <si>
    <t>Berat total seismik girder,</t>
  </si>
  <si>
    <r>
      <t>W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 W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+ 0,3 * W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charset val="1"/>
        <scheme val="minor"/>
      </rPr>
      <t xml:space="preserve"> =</t>
    </r>
  </si>
  <si>
    <t>detik</t>
  </si>
  <si>
    <t>INPUT NILAI PERCEPATAN PUNCAK DAN RESPON SPEKTRA</t>
  </si>
  <si>
    <t>Percepatan puncak di batuan dasar untuk probabilitas 7% selama 75 tahun,</t>
  </si>
  <si>
    <t>PGA =</t>
  </si>
  <si>
    <t>g</t>
  </si>
  <si>
    <t>Respon spektra percepatan 0,2 detik di batuan dasar untuk probabilitas terlampaui 7% dalam 75 tahun,</t>
  </si>
  <si>
    <r>
      <t>S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</si>
  <si>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Respon spektra percepatan 1 detik di batuan dasar untuk probabilitas terlampaui 7% dalam 75 tahun</t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</si>
  <si>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</t>
    </r>
  </si>
  <si>
    <t>INPUT NILAI PERIODE FUNDAMENTAL DEFLEKSI STRUKTUR</t>
  </si>
  <si>
    <t>Jenis tanah pada lokasi proyek,</t>
  </si>
  <si>
    <t>Tanah Sedang (SD)</t>
  </si>
  <si>
    <t xml:space="preserve">FAKTOR SITUS TANAH </t>
  </si>
  <si>
    <t>Faktor amplifikasi untuk PGA,</t>
  </si>
  <si>
    <t>SA</t>
  </si>
  <si>
    <t>SB</t>
  </si>
  <si>
    <t>SC</t>
  </si>
  <si>
    <t>SD</t>
  </si>
  <si>
    <t>SE</t>
  </si>
  <si>
    <r>
      <t>F</t>
    </r>
    <r>
      <rPr>
        <vertAlign val="subscript"/>
        <sz val="11"/>
        <color theme="1"/>
        <rFont val="Calibri"/>
        <family val="2"/>
        <scheme val="minor"/>
      </rPr>
      <t>PGA</t>
    </r>
    <r>
      <rPr>
        <sz val="11"/>
        <color theme="1"/>
        <rFont val="Calibri"/>
        <family val="2"/>
        <charset val="1"/>
        <scheme val="minor"/>
      </rPr>
      <t xml:space="preserve"> =</t>
    </r>
  </si>
  <si>
    <t>Faktor amplifikasi untuk respon spektra percepatan 0,2 detik,</t>
  </si>
  <si>
    <r>
      <t>F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=</t>
    </r>
  </si>
  <si>
    <t>Faktor amplifikasi untuk respon spektra percepatan 1 detik,</t>
  </si>
  <si>
    <r>
      <t>F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</si>
  <si>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KOEFISIEN RESPON GEMPA ELASTIK</t>
  </si>
  <si>
    <t>Koefisien respon gempa elastik pada detik ke 0,</t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</si>
  <si>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PGA</t>
    </r>
    <r>
      <rPr>
        <sz val="11"/>
        <color theme="1"/>
        <rFont val="Calibri"/>
        <family val="2"/>
        <charset val="1"/>
        <scheme val="minor"/>
      </rPr>
      <t xml:space="preserve"> * PGA =</t>
    </r>
  </si>
  <si>
    <t>Koefisien respon gempa elastik puncak,</t>
  </si>
  <si>
    <r>
      <t>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</si>
  <si>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Koefisien respon gempa elastik pada detik ke 1,</t>
  </si>
  <si>
    <r>
      <t>S</t>
    </r>
    <r>
      <rPr>
        <vertAlign val="subscript"/>
        <sz val="11"/>
        <color theme="1"/>
        <rFont val="Calibri"/>
        <family val="2"/>
        <scheme val="minor"/>
      </rPr>
      <t>D1</t>
    </r>
    <r>
      <rPr>
        <sz val="11"/>
        <color theme="1"/>
        <rFont val="Calibri"/>
        <family val="2"/>
        <charset val="1"/>
        <scheme val="minor"/>
      </rPr>
      <t xml:space="preserve"> = F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</si>
  <si>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PERIODE PUNCAK KOEFISIEN RESPON GEMPA</t>
  </si>
  <si>
    <t>Periode akhir koefisien respon gempa elastik puncak,</t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</si>
  <si>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 S</t>
    </r>
    <r>
      <rPr>
        <vertAlign val="subscript"/>
        <sz val="11"/>
        <color theme="1"/>
        <rFont val="Calibri"/>
        <family val="2"/>
        <scheme val="minor"/>
      </rPr>
      <t>D1</t>
    </r>
    <r>
      <rPr>
        <sz val="11"/>
        <color theme="1"/>
        <rFont val="Calibri"/>
        <family val="2"/>
        <charset val="1"/>
        <scheme val="minor"/>
      </rPr>
      <t xml:space="preserve"> / 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</si>
  <si>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Periode awal koefisien respon gempa elastik puncak,</t>
  </si>
  <si>
    <r>
      <t>T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 xml:space="preserve"> = 0,2 * 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</si>
  <si>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t>t</t>
  </si>
  <si>
    <t>Csm</t>
  </si>
  <si>
    <t>KOEFISIEN GEMPA UNTUK PERENCANAAN STRUKTUR</t>
  </si>
  <si>
    <r>
      <t>T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</si>
  <si>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</si>
  <si>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</si>
  <si>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</si>
  <si>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D1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</si>
  <si>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Koef. X</t>
  </si>
  <si>
    <t>Faktor modifikasi respon bangunan atas,</t>
  </si>
  <si>
    <t>R =</t>
  </si>
  <si>
    <t>Koefisien respon gempa elastik,</t>
  </si>
  <si>
    <t>Csm =</t>
  </si>
  <si>
    <t>Kekakuan struktur terhadap gaya vertikal,</t>
  </si>
  <si>
    <r>
      <t>K</t>
    </r>
    <r>
      <rPr>
        <vertAlign val="subscript"/>
        <sz val="11"/>
        <color theme="1"/>
        <rFont val="Calibri"/>
        <family val="2"/>
        <scheme val="minor"/>
      </rPr>
      <t>p(h)</t>
    </r>
    <r>
      <rPr>
        <sz val="11"/>
        <color theme="1"/>
        <rFont val="Calibri"/>
        <family val="2"/>
        <charset val="1"/>
        <scheme val="minor"/>
      </rPr>
      <t xml:space="preserve"> = 48 * 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charset val="1"/>
        <scheme val="minor"/>
      </rPr>
      <t xml:space="preserve"> / L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</si>
  <si>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scheme val="minor"/>
      </rPr>
      <t>p(v)</t>
    </r>
    <r>
      <rPr>
        <sz val="11"/>
        <color theme="1"/>
        <rFont val="Calibri"/>
        <family val="2"/>
        <charset val="1"/>
        <scheme val="minor"/>
      </rPr>
      <t xml:space="preserve"> = 384 / 5 * E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xc</t>
    </r>
    <r>
      <rPr>
        <sz val="11"/>
        <color theme="1"/>
        <rFont val="Calibri"/>
        <family val="2"/>
        <charset val="1"/>
        <scheme val="minor"/>
      </rPr>
      <t xml:space="preserve"> / L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</si>
  <si>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Periode getar alami struktur horizontal,</t>
  </si>
  <si>
    <t>Koefisien respon gempa elastik akibat kekakuan horizontal,</t>
  </si>
  <si>
    <t xml:space="preserve">Gaya gempa vertikal berdasarkan kekakuan horizontal, </t>
  </si>
  <si>
    <r>
      <t xml:space="preserve">0,5 * Csm / R </t>
    </r>
    <r>
      <rPr>
        <sz val="9"/>
        <color theme="0" tint="-0.499984740745262"/>
        <rFont val="Calibri"/>
        <family val="2"/>
      </rPr>
      <t>≥ 0,1</t>
    </r>
  </si>
  <si>
    <t>Periode getar alami struktur vertikal,</t>
  </si>
  <si>
    <r>
      <t>T</t>
    </r>
    <r>
      <rPr>
        <vertAlign val="subscript"/>
        <sz val="11"/>
        <color theme="1"/>
        <rFont val="Calibri"/>
        <family val="2"/>
        <scheme val="minor"/>
      </rPr>
      <t>(h)</t>
    </r>
    <r>
      <rPr>
        <sz val="11"/>
        <color theme="1"/>
        <rFont val="Calibri"/>
        <family val="2"/>
        <charset val="1"/>
        <scheme val="minor"/>
      </rPr>
      <t xml:space="preserve"> = 2 * 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charset val="1"/>
      </rPr>
      <t xml:space="preserve"> * 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charset val="1"/>
      </rPr>
      <t>[  W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  <charset val="1"/>
      </rPr>
      <t xml:space="preserve"> / (g * K</t>
    </r>
    <r>
      <rPr>
        <vertAlign val="subscript"/>
        <sz val="11"/>
        <color theme="1"/>
        <rFont val="Calibri"/>
        <family val="2"/>
      </rPr>
      <t>p(h)</t>
    </r>
    <r>
      <rPr>
        <sz val="11"/>
        <color theme="1"/>
        <rFont val="Calibri"/>
        <family val="2"/>
        <charset val="1"/>
      </rPr>
      <t>) ] =</t>
    </r>
  </si>
  <si>
    <t>Koefisien gempa vertikal</t>
  </si>
  <si>
    <t>Respon spektra periode pendek,</t>
  </si>
  <si>
    <t>Percepatan respons vertikal gempa,</t>
  </si>
  <si>
    <r>
      <t>C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</si>
  <si>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</si>
  <si>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aMv</t>
    </r>
    <r>
      <rPr>
        <sz val="11"/>
        <color theme="1"/>
        <rFont val="Calibri"/>
        <family val="2"/>
        <charset val="1"/>
        <scheme val="minor"/>
      </rPr>
      <t xml:space="preserve"> = 0,8 * C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* (0,15 / T</t>
    </r>
    <r>
      <rPr>
        <vertAlign val="subscript"/>
        <sz val="11"/>
        <color theme="1"/>
        <rFont val="Calibri"/>
        <family val="2"/>
        <scheme val="minor"/>
      </rPr>
      <t>(v)</t>
    </r>
    <r>
      <rPr>
        <sz val="11"/>
        <color theme="1"/>
        <rFont val="Calibri"/>
        <family val="2"/>
        <charset val="1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0,75</t>
    </r>
    <r>
      <rPr>
        <sz val="11"/>
        <color theme="1"/>
        <rFont val="Calibri"/>
        <family val="2"/>
        <charset val="1"/>
        <scheme val="minor"/>
      </rPr>
      <t xml:space="preserve"> =</t>
    </r>
  </si>
  <si>
    <t>Percepatan respons spektral desain,</t>
  </si>
  <si>
    <t xml:space="preserve">Gaya gempa vertikal berdasarkan kekakuan vertikal, </t>
  </si>
  <si>
    <r>
      <t>T</t>
    </r>
    <r>
      <rPr>
        <vertAlign val="subscript"/>
        <sz val="11"/>
        <color theme="1"/>
        <rFont val="Calibri"/>
        <family val="2"/>
        <scheme val="minor"/>
      </rPr>
      <t>(v)</t>
    </r>
    <r>
      <rPr>
        <sz val="11"/>
        <color theme="1"/>
        <rFont val="Calibri"/>
        <family val="2"/>
        <charset val="1"/>
        <scheme val="minor"/>
      </rPr>
      <t xml:space="preserve"> = 2 * 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charset val="1"/>
      </rPr>
      <t xml:space="preserve"> * 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charset val="1"/>
      </rPr>
      <t>[  W</t>
    </r>
    <r>
      <rPr>
        <vertAlign val="subscript"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  <charset val="1"/>
      </rPr>
      <t xml:space="preserve"> / (g * K</t>
    </r>
    <r>
      <rPr>
        <vertAlign val="subscript"/>
        <sz val="11"/>
        <color theme="1"/>
        <rFont val="Calibri"/>
        <family val="2"/>
      </rPr>
      <t>p(v)</t>
    </r>
    <r>
      <rPr>
        <sz val="11"/>
        <color theme="1"/>
        <rFont val="Calibri"/>
        <family val="2"/>
        <charset val="1"/>
      </rPr>
      <t>) ] =</t>
    </r>
  </si>
  <si>
    <t>Gaya gempa vertikal pada girder yang berpengaruh,</t>
  </si>
  <si>
    <t>Nilai beban gempa pada girder,</t>
  </si>
  <si>
    <r>
      <t>S</t>
    </r>
    <r>
      <rPr>
        <vertAlign val="subscript"/>
        <sz val="11"/>
        <color theme="1"/>
        <rFont val="Calibri"/>
        <family val="2"/>
        <scheme val="minor"/>
      </rPr>
      <t>av</t>
    </r>
    <r>
      <rPr>
        <sz val="11"/>
        <color theme="1"/>
        <rFont val="Calibri"/>
        <family val="2"/>
        <charset val="1"/>
        <scheme val="minor"/>
      </rPr>
      <t xml:space="preserve"> = 2/3 * S</t>
    </r>
    <r>
      <rPr>
        <vertAlign val="subscript"/>
        <sz val="11"/>
        <color theme="1"/>
        <rFont val="Calibri"/>
        <family val="2"/>
        <scheme val="minor"/>
      </rPr>
      <t>aMv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</si>
  <si>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q(2)</t>
    </r>
    <r>
      <rPr>
        <sz val="11"/>
        <color theme="1"/>
        <rFont val="Calibri"/>
        <family val="2"/>
        <charset val="1"/>
        <scheme val="minor"/>
      </rPr>
      <t xml:space="preserve"> = 0,2 * 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</si>
  <si>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q(3)</t>
    </r>
    <r>
      <rPr>
        <sz val="11"/>
        <color theme="1"/>
        <rFont val="Calibri"/>
        <family val="2"/>
        <charset val="1"/>
        <scheme val="minor"/>
      </rPr>
      <t xml:space="preserve"> = 0,3 * S</t>
    </r>
    <r>
      <rPr>
        <vertAlign val="subscript"/>
        <sz val="11"/>
        <color theme="1"/>
        <rFont val="Calibri"/>
        <family val="2"/>
        <scheme val="minor"/>
      </rPr>
      <t>av</t>
    </r>
    <r>
      <rPr>
        <sz val="11"/>
        <color theme="1"/>
        <rFont val="Calibri"/>
        <family val="2"/>
        <charset val="1"/>
        <scheme val="minor"/>
      </rPr>
      <t xml:space="preserve"> * W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</si>
  <si>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Q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charset val="1"/>
        <scheme val="minor"/>
      </rPr>
      <t xml:space="preserve"> = E</t>
    </r>
    <r>
      <rPr>
        <vertAlign val="subscript"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charset val="1"/>
        <scheme val="minor"/>
      </rPr>
      <t xml:space="preserve"> / L =</t>
    </r>
  </si>
  <si>
    <r>
      <t>E</t>
    </r>
    <r>
      <rPr>
        <vertAlign val="subscript"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charset val="1"/>
        <scheme val="minor"/>
      </rPr>
      <t xml:space="preserve"> = MAX( E</t>
    </r>
    <r>
      <rPr>
        <vertAlign val="subscript"/>
        <sz val="11"/>
        <color theme="1"/>
        <rFont val="Calibri"/>
        <family val="2"/>
        <scheme val="minor"/>
      </rPr>
      <t>q(1)</t>
    </r>
    <r>
      <rPr>
        <sz val="11"/>
        <color theme="1"/>
        <rFont val="Calibri"/>
        <family val="2"/>
        <charset val="1"/>
        <scheme val="minor"/>
      </rPr>
      <t xml:space="preserve"> ; E</t>
    </r>
    <r>
      <rPr>
        <vertAlign val="subscript"/>
        <sz val="11"/>
        <color theme="1"/>
        <rFont val="Calibri"/>
        <family val="2"/>
        <scheme val="minor"/>
      </rPr>
      <t>q(2)</t>
    </r>
    <r>
      <rPr>
        <sz val="11"/>
        <color theme="1"/>
        <rFont val="Calibri"/>
        <family val="2"/>
        <charset val="1"/>
        <scheme val="minor"/>
      </rPr>
      <t xml:space="preserve"> ; E</t>
    </r>
    <r>
      <rPr>
        <vertAlign val="subscript"/>
        <sz val="11"/>
        <color theme="1"/>
        <rFont val="Calibri"/>
        <family val="2"/>
        <scheme val="minor"/>
      </rPr>
      <t>q(3)</t>
    </r>
    <r>
      <rPr>
        <sz val="11"/>
        <color theme="1"/>
        <rFont val="Calibri"/>
        <family val="2"/>
        <charset val="1"/>
        <scheme val="minor"/>
      </rPr>
      <t xml:space="preserve"> ) =</t>
    </r>
  </si>
  <si>
    <r>
      <t>C</t>
    </r>
    <r>
      <rPr>
        <vertAlign val="subscript"/>
        <sz val="11"/>
        <color theme="1"/>
        <rFont val="Calibri"/>
        <family val="2"/>
        <scheme val="minor"/>
      </rPr>
      <t>sm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</si>
  <si>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E</t>
    </r>
    <r>
      <rPr>
        <vertAlign val="subscript"/>
        <sz val="11"/>
        <color theme="1"/>
        <rFont val="Calibri"/>
        <family val="2"/>
        <scheme val="minor"/>
      </rPr>
      <t>q(1)</t>
    </r>
    <r>
      <rPr>
        <sz val="11"/>
        <color theme="1"/>
        <rFont val="Calibri"/>
        <family val="2"/>
        <charset val="1"/>
        <scheme val="minor"/>
      </rPr>
      <t xml:space="preserve"> = 0,5 * C</t>
    </r>
    <r>
      <rPr>
        <vertAlign val="subscript"/>
        <sz val="11"/>
        <color theme="1"/>
        <rFont val="Calibri"/>
        <family val="2"/>
        <scheme val="minor"/>
      </rPr>
      <t>sm</t>
    </r>
    <r>
      <rPr>
        <sz val="11"/>
        <color theme="1"/>
        <rFont val="Calibri"/>
        <family val="2"/>
        <charset val="1"/>
        <scheme val="minor"/>
      </rPr>
      <t xml:space="preserve"> / R * W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"/>
        <scheme val="minor"/>
      </rPr>
      <t xml:space="preserve"> =</t>
    </r>
  </si>
  <si>
    <t>X'</t>
  </si>
  <si>
    <t>Y'</t>
  </si>
  <si>
    <t>B'</t>
  </si>
  <si>
    <t>D'</t>
  </si>
  <si>
    <t>M'</t>
  </si>
  <si>
    <t>O'</t>
  </si>
  <si>
    <r>
      <t>Z</t>
    </r>
    <r>
      <rPr>
        <b/>
        <vertAlign val="subscript"/>
        <sz val="8"/>
        <color theme="1"/>
        <rFont val="Calibri Light"/>
        <family val="2"/>
        <scheme val="major"/>
      </rPr>
      <t>i</t>
    </r>
    <r>
      <rPr>
        <b/>
        <sz val="8"/>
        <color theme="1"/>
        <rFont val="Calibri Light"/>
        <family val="2"/>
        <scheme val="major"/>
      </rPr>
      <t>'</t>
    </r>
  </si>
  <si>
    <r>
      <t>Z</t>
    </r>
    <r>
      <rPr>
        <b/>
        <vertAlign val="subscript"/>
        <sz val="8"/>
        <color theme="1"/>
        <rFont val="Calibri Light"/>
        <family val="2"/>
        <scheme val="major"/>
      </rPr>
      <t>i</t>
    </r>
  </si>
  <si>
    <r>
      <t>f</t>
    </r>
    <r>
      <rPr>
        <b/>
        <vertAlign val="subscript"/>
        <sz val="8"/>
        <color theme="1"/>
        <rFont val="Calibri Light"/>
        <family val="2"/>
        <scheme val="major"/>
      </rPr>
      <t>i</t>
    </r>
    <r>
      <rPr>
        <b/>
        <sz val="8"/>
        <color theme="1"/>
        <rFont val="Calibri Light"/>
        <family val="2"/>
        <scheme val="major"/>
      </rPr>
      <t xml:space="preserve"> = Z</t>
    </r>
    <r>
      <rPr>
        <b/>
        <vertAlign val="subscript"/>
        <sz val="8"/>
        <color theme="1"/>
        <rFont val="Calibri Light"/>
        <family val="2"/>
        <scheme val="major"/>
      </rPr>
      <t>i</t>
    </r>
    <r>
      <rPr>
        <b/>
        <sz val="8"/>
        <color theme="1"/>
        <rFont val="Calibri Light"/>
        <family val="2"/>
        <scheme val="major"/>
      </rPr>
      <t>' - Z</t>
    </r>
    <r>
      <rPr>
        <b/>
        <vertAlign val="subscript"/>
        <sz val="8"/>
        <color theme="1"/>
        <rFont val="Calibri Light"/>
        <family val="2"/>
        <scheme val="major"/>
      </rPr>
      <t>i</t>
    </r>
  </si>
  <si>
    <t>=</t>
  </si>
  <si>
    <t>Spasi</t>
  </si>
  <si>
    <r>
      <t>+ P</t>
    </r>
    <r>
      <rPr>
        <vertAlign val="subscript"/>
        <sz val="8"/>
        <color theme="1"/>
        <rFont val="Calibri"/>
        <family val="2"/>
        <scheme val="minor"/>
      </rPr>
      <t>j</t>
    </r>
    <r>
      <rPr>
        <sz val="8"/>
        <color theme="1"/>
        <rFont val="Calibri"/>
        <family val="2"/>
        <scheme val="minor"/>
      </rPr>
      <t xml:space="preserve"> * e</t>
    </r>
    <r>
      <rPr>
        <vertAlign val="subscript"/>
        <sz val="8"/>
        <color theme="1"/>
        <rFont val="Calibri"/>
        <family val="2"/>
        <scheme val="minor"/>
      </rPr>
      <t>s</t>
    </r>
    <r>
      <rPr>
        <sz val="8"/>
        <color theme="1"/>
        <rFont val="Calibri"/>
        <family val="2"/>
        <scheme val="minor"/>
      </rPr>
      <t xml:space="preserve"> / W</t>
    </r>
    <r>
      <rPr>
        <vertAlign val="subscript"/>
        <sz val="8"/>
        <color theme="1"/>
        <rFont val="Calibri"/>
        <family val="2"/>
        <scheme val="minor"/>
      </rPr>
      <t>a</t>
    </r>
  </si>
  <si>
    <r>
      <t>- P</t>
    </r>
    <r>
      <rPr>
        <vertAlign val="subscript"/>
        <sz val="8"/>
        <color theme="1"/>
        <rFont val="Calibri"/>
        <family val="2"/>
        <scheme val="minor"/>
      </rPr>
      <t>j</t>
    </r>
    <r>
      <rPr>
        <sz val="8"/>
        <color theme="1"/>
        <rFont val="Calibri"/>
        <family val="2"/>
        <scheme val="minor"/>
      </rPr>
      <t xml:space="preserve"> * e</t>
    </r>
    <r>
      <rPr>
        <vertAlign val="subscript"/>
        <sz val="8"/>
        <color theme="1"/>
        <rFont val="Calibri"/>
        <family val="2"/>
        <scheme val="minor"/>
      </rPr>
      <t>s</t>
    </r>
    <r>
      <rPr>
        <sz val="8"/>
        <color theme="1"/>
        <rFont val="Calibri"/>
        <family val="2"/>
        <scheme val="minor"/>
      </rPr>
      <t xml:space="preserve"> / W</t>
    </r>
    <r>
      <rPr>
        <vertAlign val="subscript"/>
        <sz val="8"/>
        <color theme="1"/>
        <rFont val="Calibri"/>
        <family val="2"/>
        <scheme val="minor"/>
      </rPr>
      <t>b</t>
    </r>
  </si>
  <si>
    <r>
      <t>-P</t>
    </r>
    <r>
      <rPr>
        <vertAlign val="subscript"/>
        <sz val="10"/>
        <color theme="1"/>
        <rFont val="Calibri"/>
        <family val="2"/>
        <scheme val="minor"/>
      </rPr>
      <t>j</t>
    </r>
    <r>
      <rPr>
        <sz val="10"/>
        <color theme="1"/>
        <rFont val="Calibri"/>
        <family val="2"/>
        <scheme val="minor"/>
      </rPr>
      <t>/A</t>
    </r>
  </si>
  <si>
    <r>
      <t>-P</t>
    </r>
    <r>
      <rPr>
        <vertAlign val="subscript"/>
        <sz val="8"/>
        <color theme="1"/>
        <rFont val="Calibri"/>
        <family val="2"/>
        <scheme val="minor"/>
      </rPr>
      <t>j</t>
    </r>
    <r>
      <rPr>
        <sz val="8"/>
        <color theme="1"/>
        <rFont val="Calibri"/>
        <family val="2"/>
        <scheme val="minor"/>
      </rPr>
      <t>/A</t>
    </r>
  </si>
  <si>
    <r>
      <t>- M</t>
    </r>
    <r>
      <rPr>
        <vertAlign val="subscript"/>
        <sz val="8"/>
        <color theme="1"/>
        <rFont val="Calibri"/>
        <family val="2"/>
        <scheme val="minor"/>
      </rPr>
      <t>balok</t>
    </r>
    <r>
      <rPr>
        <sz val="8"/>
        <color theme="1"/>
        <rFont val="Calibri"/>
        <family val="2"/>
        <scheme val="minor"/>
      </rPr>
      <t xml:space="preserve"> / W</t>
    </r>
    <r>
      <rPr>
        <vertAlign val="subscript"/>
        <sz val="8"/>
        <color theme="1"/>
        <rFont val="Calibri"/>
        <family val="2"/>
        <scheme val="minor"/>
      </rPr>
      <t>a</t>
    </r>
  </si>
  <si>
    <r>
      <t>+ M</t>
    </r>
    <r>
      <rPr>
        <vertAlign val="subscript"/>
        <sz val="8"/>
        <color theme="1"/>
        <rFont val="Calibri"/>
        <family val="2"/>
        <scheme val="minor"/>
      </rPr>
      <t>balok</t>
    </r>
    <r>
      <rPr>
        <sz val="8"/>
        <color theme="1"/>
        <rFont val="Calibri"/>
        <family val="2"/>
        <scheme val="minor"/>
      </rPr>
      <t xml:space="preserve"> / W</t>
    </r>
    <r>
      <rPr>
        <vertAlign val="subscript"/>
        <sz val="8"/>
        <color theme="1"/>
        <rFont val="Calibri"/>
        <family val="2"/>
        <scheme val="minor"/>
      </rPr>
      <t>b</t>
    </r>
  </si>
  <si>
    <t>+ Pj * es / Wa</t>
  </si>
  <si>
    <t>- Pj * es / Wb</t>
  </si>
  <si>
    <t>- Mbalok / Wa</t>
  </si>
  <si>
    <t>+ Mbalok / Wb</t>
  </si>
  <si>
    <t>-P/A</t>
  </si>
  <si>
    <t>H'</t>
  </si>
  <si>
    <t>I'</t>
  </si>
  <si>
    <t>Q'</t>
  </si>
  <si>
    <t>0,5 * √fc' =</t>
  </si>
  <si>
    <r>
      <t>- M</t>
    </r>
    <r>
      <rPr>
        <vertAlign val="subscript"/>
        <sz val="8"/>
        <color theme="1"/>
        <rFont val="Calibri"/>
        <family val="2"/>
        <scheme val="minor"/>
      </rPr>
      <t>balok+pelat</t>
    </r>
    <r>
      <rPr>
        <sz val="8"/>
        <color theme="1"/>
        <rFont val="Calibri"/>
        <family val="2"/>
        <scheme val="minor"/>
      </rPr>
      <t xml:space="preserve"> / W</t>
    </r>
    <r>
      <rPr>
        <vertAlign val="subscript"/>
        <sz val="8"/>
        <color theme="1"/>
        <rFont val="Calibri"/>
        <family val="2"/>
        <scheme val="minor"/>
      </rPr>
      <t>a</t>
    </r>
  </si>
  <si>
    <r>
      <t>+ M</t>
    </r>
    <r>
      <rPr>
        <vertAlign val="subscript"/>
        <sz val="8"/>
        <color theme="1"/>
        <rFont val="Calibri"/>
        <family val="2"/>
        <scheme val="minor"/>
      </rPr>
      <t>balok+pelat</t>
    </r>
    <r>
      <rPr>
        <sz val="8"/>
        <color theme="1"/>
        <rFont val="Calibri"/>
        <family val="2"/>
        <scheme val="minor"/>
      </rPr>
      <t xml:space="preserve"> / W</t>
    </r>
    <r>
      <rPr>
        <vertAlign val="subscript"/>
        <sz val="8"/>
        <color theme="1"/>
        <rFont val="Calibri"/>
        <family val="2"/>
        <scheme val="minor"/>
      </rPr>
      <t>b</t>
    </r>
  </si>
  <si>
    <r>
      <t>- M</t>
    </r>
    <r>
      <rPr>
        <vertAlign val="subscript"/>
        <sz val="10"/>
        <color theme="1"/>
        <rFont val="Calibri"/>
        <family val="2"/>
        <scheme val="minor"/>
      </rPr>
      <t>MA</t>
    </r>
    <r>
      <rPr>
        <sz val="10"/>
        <color theme="1"/>
        <rFont val="Calibri"/>
        <family val="2"/>
        <scheme val="minor"/>
      </rPr>
      <t xml:space="preserve"> / Wa</t>
    </r>
  </si>
  <si>
    <r>
      <t>- M</t>
    </r>
    <r>
      <rPr>
        <vertAlign val="subscript"/>
        <sz val="10"/>
        <color theme="1"/>
        <rFont val="Calibri"/>
        <family val="2"/>
        <scheme val="minor"/>
      </rPr>
      <t>LL</t>
    </r>
    <r>
      <rPr>
        <sz val="10"/>
        <color theme="1"/>
        <rFont val="Calibri"/>
        <family val="2"/>
        <scheme val="minor"/>
      </rPr>
      <t xml:space="preserve"> / Wa</t>
    </r>
  </si>
  <si>
    <t>Mma / Wc</t>
  </si>
  <si>
    <t>MLL / Wc</t>
  </si>
  <si>
    <t xml:space="preserve"> </t>
  </si>
  <si>
    <t>Momen akibat beban lajur,</t>
  </si>
  <si>
    <r>
      <t>M</t>
    </r>
    <r>
      <rPr>
        <vertAlign val="subscript"/>
        <sz val="11"/>
        <color theme="1"/>
        <rFont val="Calibri"/>
        <family val="2"/>
        <scheme val="minor"/>
      </rPr>
      <t>LL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</si>
  <si>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>'</t>
    </r>
    <r>
      <rPr>
        <vertAlign val="sub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charset val="1"/>
        <scheme val="minor"/>
      </rPr>
      <t xml:space="preserve"> = ( - 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>' - M</t>
    </r>
    <r>
      <rPr>
        <vertAlign val="subscript"/>
        <sz val="11"/>
        <color theme="1"/>
        <rFont val="Calibri"/>
        <family val="2"/>
        <scheme val="minor"/>
      </rPr>
      <t>LL</t>
    </r>
    <r>
      <rPr>
        <sz val="11"/>
        <color theme="1"/>
        <rFont val="Calibri"/>
        <family val="2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 xml:space="preserve">' ) * n </t>
    </r>
    <r>
      <rPr>
        <sz val="11"/>
        <color theme="1"/>
        <rFont val="Calibri"/>
        <family val="2"/>
        <charset val="1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</si>
  <si>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charset val="1"/>
        <scheme val="minor"/>
      </rPr>
      <t xml:space="preserve"> = ( - 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 xml:space="preserve"> - 0,8 * M</t>
    </r>
    <r>
      <rPr>
        <vertAlign val="subscript"/>
        <sz val="11"/>
        <color theme="1"/>
        <rFont val="Calibri"/>
        <family val="2"/>
        <scheme val="minor"/>
      </rPr>
      <t>LL</t>
    </r>
    <r>
      <rPr>
        <sz val="11"/>
        <color theme="1"/>
        <rFont val="Calibri"/>
        <family val="2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 xml:space="preserve"> ) * n </t>
    </r>
    <r>
      <rPr>
        <sz val="11"/>
        <color theme="1"/>
        <rFont val="Calibri"/>
        <family val="2"/>
        <charset val="1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</si>
  <si>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>'</t>
    </r>
    <r>
      <rPr>
        <vertAlign val="sub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A +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balok+plat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>' - 0,8 * M</t>
    </r>
    <r>
      <rPr>
        <vertAlign val="subscript"/>
        <sz val="11"/>
        <color theme="1"/>
        <rFont val="Calibri"/>
        <family val="2"/>
        <scheme val="minor"/>
      </rPr>
      <t>LL</t>
    </r>
    <r>
      <rPr>
        <sz val="11"/>
        <color theme="1"/>
        <rFont val="Calibri"/>
        <family val="2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>'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</si>
  <si>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=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/ A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bc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balok+plat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MA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+ 0,8 * M</t>
    </r>
    <r>
      <rPr>
        <vertAlign val="subscript"/>
        <sz val="11"/>
        <color theme="1"/>
        <rFont val="Calibri"/>
        <family val="2"/>
        <scheme val="minor"/>
      </rPr>
      <t>LL</t>
    </r>
    <r>
      <rPr>
        <sz val="11"/>
        <color theme="1"/>
        <rFont val="Calibri"/>
        <family val="2"/>
        <charset val="1"/>
        <scheme val="minor"/>
      </rPr>
      <t xml:space="preserve"> / W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charset val="1"/>
        <scheme val="minor"/>
      </rPr>
      <t xml:space="preserve"> =</t>
    </r>
  </si>
  <si>
    <t>Balok kondisi layan (MPa)</t>
  </si>
  <si>
    <t>BEBAN GEMPA VERTIKAL PADA GIRDER</t>
  </si>
  <si>
    <t>T =</t>
  </si>
  <si>
    <t>Periode fundamental defleksi,</t>
  </si>
  <si>
    <t>Periode fundamental vertikal,</t>
  </si>
  <si>
    <r>
      <t>S</t>
    </r>
    <r>
      <rPr>
        <vertAlign val="subscript"/>
        <sz val="11"/>
        <color theme="1"/>
        <rFont val="Calibri"/>
        <family val="2"/>
        <scheme val="minor"/>
      </rPr>
      <t>aMv</t>
    </r>
    <r>
      <rPr>
        <sz val="11"/>
        <color theme="1"/>
        <rFont val="Calibri"/>
        <family val="2"/>
        <charset val="1"/>
        <scheme val="minor"/>
      </rPr>
      <t xml:space="preserve"> = 0,3 * C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</si>
  <si>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aMv</t>
    </r>
    <r>
      <rPr>
        <sz val="11"/>
        <color theme="1"/>
        <rFont val="Calibri"/>
        <family val="2"/>
        <charset val="1"/>
        <scheme val="minor"/>
      </rPr>
      <t xml:space="preserve"> = 0,8 * C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</si>
  <si>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aMv</t>
    </r>
    <r>
      <rPr>
        <sz val="11"/>
        <color theme="1"/>
        <rFont val="Calibri"/>
        <family val="2"/>
        <charset val="1"/>
        <scheme val="minor"/>
      </rPr>
      <t xml:space="preserve"> = 20 * C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* (T</t>
    </r>
    <r>
      <rPr>
        <vertAlign val="subscript"/>
        <sz val="11"/>
        <color theme="1"/>
        <rFont val="Calibri"/>
        <family val="2"/>
        <scheme val="minor"/>
      </rPr>
      <t>(v)</t>
    </r>
    <r>
      <rPr>
        <sz val="11"/>
        <color theme="1"/>
        <rFont val="Calibri"/>
        <family val="2"/>
        <charset val="1"/>
        <scheme val="minor"/>
      </rPr>
      <t xml:space="preserve"> - 0,025) + 0,3 * C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S</t>
    </r>
    <r>
      <rPr>
        <vertAlign val="subscript"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</si>
  <si>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(v)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charset val="1"/>
      </rPr>
      <t xml:space="preserve"> 0,025 detik</t>
    </r>
  </si>
  <si>
    <r>
      <t>0,025 &lt; T</t>
    </r>
    <r>
      <rPr>
        <vertAlign val="subscript"/>
        <sz val="11"/>
        <color theme="1"/>
        <rFont val="Calibri"/>
        <family val="2"/>
        <scheme val="minor"/>
      </rPr>
      <t>(v)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charset val="1"/>
      </rPr>
      <t xml:space="preserve"> 0,05 detik</t>
    </r>
  </si>
  <si>
    <r>
      <t>0,05 &lt; T</t>
    </r>
    <r>
      <rPr>
        <vertAlign val="subscript"/>
        <sz val="11"/>
        <color theme="1"/>
        <rFont val="Calibri"/>
        <family val="2"/>
        <scheme val="minor"/>
      </rPr>
      <t>(v)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charset val="1"/>
      </rPr>
      <t xml:space="preserve"> 0,15 detik</t>
    </r>
  </si>
  <si>
    <r>
      <t>0,15 &lt; T</t>
    </r>
    <r>
      <rPr>
        <vertAlign val="subscript"/>
        <sz val="11"/>
        <color theme="1"/>
        <rFont val="Calibri"/>
        <family val="2"/>
        <scheme val="minor"/>
      </rPr>
      <t>(v)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charset val="1"/>
      </rPr>
      <t xml:space="preserve"> 2,00 detik</t>
    </r>
  </si>
  <si>
    <r>
      <t>S</t>
    </r>
    <r>
      <rPr>
        <vertAlign val="subscript"/>
        <sz val="11"/>
        <color theme="1"/>
        <rFont val="Calibri"/>
        <family val="2"/>
        <scheme val="minor"/>
      </rPr>
      <t>aMv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</si>
  <si>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Momen akibat beban gempa vertikal pada girder,</t>
  </si>
  <si>
    <r>
      <t>M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charset val="1"/>
        <scheme val="minor"/>
      </rPr>
      <t xml:space="preserve"> = 1/8 * Q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charset val="1"/>
        <scheme val="minor"/>
      </rPr>
      <t xml:space="preserve"> *L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1"/>
        <scheme val="minor"/>
      </rPr>
      <t xml:space="preserve"> =</t>
    </r>
  </si>
  <si>
    <t>Momen akibat beban mati komponen struktural &amp; non struktural jembatan,</t>
  </si>
  <si>
    <t>Momen akibat beban gaya prategang,</t>
  </si>
  <si>
    <t>Momen akibat beban mati perkerasaan dan utilitas,</t>
  </si>
  <si>
    <t>Momen akibat beban lajur kendaraan,</t>
  </si>
  <si>
    <t>Momen akibat beban lajur akibat rem,</t>
  </si>
  <si>
    <t>Momen akibat beban angin pada struktur,</t>
  </si>
  <si>
    <r>
      <t>T</t>
    </r>
    <r>
      <rPr>
        <vertAlign val="subscript"/>
        <sz val="11"/>
        <color theme="1"/>
        <rFont val="Calibri"/>
        <family val="2"/>
        <scheme val="minor"/>
      </rPr>
      <t>(v)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</si>
  <si>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LAYAN 3</t>
    </r>
    <r>
      <rPr>
        <sz val="11"/>
        <color theme="1"/>
        <rFont val="Calibri"/>
        <family val="2"/>
        <charset val="1"/>
        <scheme val="minor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"/>
        <scheme val="minor"/>
      </rPr>
      <t xml:space="preserve"> + 0,8 * (M</t>
    </r>
    <r>
      <rPr>
        <vertAlign val="subscript"/>
        <sz val="11"/>
        <color theme="1"/>
        <rFont val="Calibri"/>
        <family val="2"/>
        <scheme val="minor"/>
      </rPr>
      <t>TD</t>
    </r>
    <r>
      <rPr>
        <sz val="11"/>
        <color theme="1"/>
        <rFont val="Calibri"/>
        <family val="2"/>
        <charset val="1"/>
        <scheme val="minor"/>
      </rPr>
      <t xml:space="preserve"> / M</t>
    </r>
    <r>
      <rPr>
        <vertAlign val="subscript"/>
        <sz val="11"/>
        <color theme="1"/>
        <rFont val="Calibri"/>
        <family val="2"/>
        <scheme val="minor"/>
      </rPr>
      <t>TT</t>
    </r>
    <r>
      <rPr>
        <sz val="11"/>
        <color theme="1"/>
        <rFont val="Calibri"/>
        <family val="2"/>
        <charset val="1"/>
        <scheme val="minor"/>
      </rPr>
      <t xml:space="preserve"> + M</t>
    </r>
    <r>
      <rPr>
        <vertAlign val="subscript"/>
        <sz val="11"/>
        <color theme="1"/>
        <rFont val="Calibri"/>
        <family val="2"/>
        <scheme val="minor"/>
      </rPr>
      <t>TB)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</si>
  <si>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= L / 4 =</t>
    </r>
  </si>
  <si>
    <r>
      <t>B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= s =</t>
    </r>
  </si>
  <si>
    <r>
      <t>B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= 12 * 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</si>
  <si>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</si>
  <si>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Q</t>
    </r>
    <r>
      <rPr>
        <vertAlign val="subscript"/>
        <sz val="11"/>
        <color theme="1"/>
        <rFont val="Calibri"/>
        <family val="2"/>
        <scheme val="minor"/>
      </rPr>
      <t>peff</t>
    </r>
    <r>
      <rPr>
        <sz val="11"/>
        <color theme="1"/>
        <rFont val="Calibri"/>
        <family val="2"/>
        <scheme val="minor"/>
      </rPr>
      <t xml:space="preserve"> = 8 * (P'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 xml:space="preserve"> -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* e'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/ 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</si>
  <si>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δ = δ' + 5/384 * ( -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Q</t>
    </r>
    <r>
      <rPr>
        <vertAlign val="subscript"/>
        <sz val="11"/>
        <color theme="1"/>
        <rFont val="Calibri"/>
        <family val="2"/>
        <scheme val="minor"/>
      </rPr>
      <t>peff</t>
    </r>
    <r>
      <rPr>
        <sz val="11"/>
        <color theme="1"/>
        <rFont val="Calibri"/>
        <family val="2"/>
        <scheme val="minor"/>
      </rPr>
      <t xml:space="preserve"> + Q</t>
    </r>
    <r>
      <rPr>
        <vertAlign val="subscript"/>
        <sz val="11"/>
        <color theme="1"/>
        <rFont val="Calibri"/>
        <family val="2"/>
        <scheme val="minor"/>
      </rPr>
      <t xml:space="preserve">balok+plat </t>
    </r>
    <r>
      <rPr>
        <sz val="11"/>
        <color theme="1"/>
        <rFont val="Calibri"/>
        <family val="2"/>
        <scheme val="minor"/>
      </rPr>
      <t>) * L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/ (E</t>
    </r>
    <r>
      <rPr>
        <vertAlign val="subscript"/>
        <sz val="11"/>
        <color theme="1"/>
        <rFont val="Calibri"/>
        <family val="2"/>
        <scheme val="minor"/>
      </rPr>
      <t>balok</t>
    </r>
    <r>
      <rPr>
        <sz val="11"/>
        <color theme="1"/>
        <rFont val="Calibri"/>
        <family val="2"/>
        <scheme val="minor"/>
      </rPr>
      <t xml:space="preserve"> * I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 =</t>
    </r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</si>
  <si>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M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* (d -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* c/2)  =</t>
    </r>
  </si>
  <si>
    <t>Tinggi penampang komposit,</t>
  </si>
  <si>
    <t>Tebal selimut untuk girder PC I,</t>
  </si>
  <si>
    <r>
      <t>t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charset val="1"/>
        <scheme val="minor"/>
      </rPr>
      <t xml:space="preserve"> =</t>
    </r>
  </si>
  <si>
    <t>Selimut beton pada girder,</t>
  </si>
  <si>
    <t>Diameter tulangan geser,</t>
  </si>
  <si>
    <r>
      <t>H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</si>
  <si>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</si>
  <si>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r</t>
    </r>
    <r>
      <rPr>
        <vertAlign val="subscript"/>
        <sz val="11"/>
        <color theme="1"/>
        <rFont val="Calibri"/>
        <family val="2"/>
        <scheme val="minor"/>
      </rPr>
      <t>tendon</t>
    </r>
  </si>
  <si>
    <r>
      <t>d</t>
    </r>
    <r>
      <rPr>
        <vertAlign val="subscript"/>
        <sz val="11"/>
        <color theme="1"/>
        <rFont val="Calibri"/>
        <family val="2"/>
        <scheme val="minor"/>
      </rPr>
      <t>e</t>
    </r>
  </si>
  <si>
    <t>Kontribusi gaya prategang terhadap ketahanan geser,</t>
  </si>
  <si>
    <t>Panjang tendon asumsi linier,</t>
  </si>
  <si>
    <t>Tinggi efektif pratekan,</t>
  </si>
  <si>
    <r>
      <t>v</t>
    </r>
    <r>
      <rPr>
        <vertAlign val="subscript"/>
        <sz val="11"/>
        <color theme="1"/>
        <rFont val="Calibri"/>
        <family val="2"/>
        <scheme val="minor"/>
      </rPr>
      <t>p</t>
    </r>
  </si>
  <si>
    <t>Lebar penampang efektif geser,</t>
  </si>
  <si>
    <r>
      <t>b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</si>
  <si>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ucr</t>
    </r>
  </si>
  <si>
    <r>
      <t>M</t>
    </r>
    <r>
      <rPr>
        <vertAlign val="subscript"/>
        <sz val="11"/>
        <color theme="1"/>
        <rFont val="Calibri"/>
        <family val="2"/>
        <scheme val="minor"/>
      </rPr>
      <t>ucr</t>
    </r>
  </si>
  <si>
    <r>
      <t>d</t>
    </r>
    <r>
      <rPr>
        <vertAlign val="subscript"/>
        <sz val="11"/>
        <color theme="1"/>
        <rFont val="Calibri"/>
        <family val="2"/>
        <scheme val="minor"/>
      </rPr>
      <t>v</t>
    </r>
  </si>
  <si>
    <t>Val.</t>
  </si>
  <si>
    <t>Ket</t>
  </si>
  <si>
    <t>m2</t>
  </si>
  <si>
    <t>Gaya aksial nominal,</t>
  </si>
  <si>
    <t>Pakai</t>
  </si>
  <si>
    <t>β</t>
  </si>
  <si>
    <t>Kuat tekan beton untuk girder,</t>
  </si>
  <si>
    <r>
      <t>V</t>
    </r>
    <r>
      <rPr>
        <vertAlign val="subscript"/>
        <sz val="11"/>
        <color theme="1"/>
        <rFont val="Calibri"/>
        <family val="2"/>
        <scheme val="minor"/>
      </rPr>
      <t>s-req</t>
    </r>
  </si>
  <si>
    <t>Luas tulangan,</t>
  </si>
  <si>
    <t>Jumlah kaki,</t>
  </si>
  <si>
    <t>mm2</t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</si>
  <si>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 0,25 * </t>
    </r>
    <r>
      <rPr>
        <sz val="11"/>
        <color theme="1"/>
        <rFont val="Calibri"/>
        <family val="2"/>
      </rPr>
      <t>π</t>
    </r>
    <r>
      <rPr>
        <sz val="11"/>
        <color theme="1"/>
        <rFont val="Calibri"/>
        <family val="2"/>
        <charset val="1"/>
      </rPr>
      <t xml:space="preserve"> * D</t>
    </r>
    <r>
      <rPr>
        <vertAlign val="subscript"/>
        <sz val="11"/>
        <color theme="1"/>
        <rFont val="Calibri"/>
        <family val="2"/>
      </rPr>
      <t>v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charset val="1"/>
      </rPr>
      <t xml:space="preserve"> * n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  <charset val="1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</si>
  <si>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</t>
    </r>
  </si>
  <si>
    <t>Kuat leleh tulangan geser,</t>
  </si>
  <si>
    <r>
      <t>f</t>
    </r>
    <r>
      <rPr>
        <vertAlign val="subscript"/>
        <sz val="11"/>
        <color theme="1"/>
        <rFont val="Calibri"/>
        <family val="2"/>
        <scheme val="minor"/>
      </rPr>
      <t>yv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</si>
  <si>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pu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</si>
  <si>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</si>
  <si>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f'</t>
    </r>
    <r>
      <rPr>
        <vertAlign val="subscript"/>
        <sz val="11"/>
        <color theme="1"/>
        <rFont val="Calibri"/>
        <family val="2"/>
        <scheme val="minor"/>
      </rPr>
      <t>cg</t>
    </r>
    <r>
      <rPr>
        <sz val="11"/>
        <color theme="1"/>
        <rFont val="Calibri"/>
        <family val="2"/>
        <charset val="1"/>
        <scheme val="minor"/>
      </rPr>
      <t xml:space="preserve"> =</t>
    </r>
  </si>
  <si>
    <t>θ</t>
  </si>
  <si>
    <r>
      <rPr>
        <sz val="11"/>
        <color theme="1"/>
        <rFont val="Calibri"/>
        <family val="2"/>
        <scheme val="minor"/>
      </rPr>
      <t>D</t>
    </r>
    <r>
      <rPr>
        <vertAlign val="superscript"/>
        <sz val="11"/>
        <color theme="1"/>
        <rFont val="Calibri"/>
        <family val="2"/>
        <scheme val="minor"/>
      </rPr>
      <t>o</t>
    </r>
  </si>
  <si>
    <t>Perlu</t>
  </si>
  <si>
    <r>
      <t>S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(mm)</t>
    </r>
  </si>
  <si>
    <r>
      <t>V</t>
    </r>
    <r>
      <rPr>
        <vertAlign val="subscript"/>
        <sz val="11"/>
        <color theme="1"/>
        <rFont val="Calibri"/>
        <family val="2"/>
        <scheme val="minor"/>
      </rPr>
      <t>s</t>
    </r>
  </si>
  <si>
    <r>
      <t>V</t>
    </r>
    <r>
      <rPr>
        <vertAlign val="subscript"/>
        <sz val="11"/>
        <color theme="1"/>
        <rFont val="Calibri"/>
        <family val="2"/>
        <scheme val="minor"/>
      </rPr>
      <t>n1</t>
    </r>
  </si>
  <si>
    <r>
      <t>V</t>
    </r>
    <r>
      <rPr>
        <vertAlign val="subscript"/>
        <sz val="11"/>
        <color theme="1"/>
        <rFont val="Calibri"/>
        <family val="2"/>
        <scheme val="minor"/>
      </rPr>
      <t>n2</t>
    </r>
  </si>
  <si>
    <r>
      <rPr>
        <i/>
        <sz val="11"/>
        <color theme="1"/>
        <rFont val="Calibri"/>
        <family val="2"/>
        <scheme val="minor"/>
      </rPr>
      <t>φ</t>
    </r>
    <r>
      <rPr>
        <sz val="11"/>
        <color theme="1"/>
        <rFont val="Calibri"/>
        <family val="2"/>
        <charset val="1"/>
        <scheme val="minor"/>
      </rPr>
      <t xml:space="preserve"> * V</t>
    </r>
    <r>
      <rPr>
        <vertAlign val="subscript"/>
        <sz val="11"/>
        <color theme="1"/>
        <rFont val="Calibri"/>
        <family val="2"/>
        <scheme val="minor"/>
      </rPr>
      <t>n</t>
    </r>
  </si>
  <si>
    <r>
      <rPr>
        <i/>
        <sz val="11"/>
        <color theme="1"/>
        <rFont val="Calibri"/>
        <family val="2"/>
        <scheme val="minor"/>
      </rPr>
      <t>φ</t>
    </r>
    <r>
      <rPr>
        <sz val="11"/>
        <color theme="1"/>
        <rFont val="Calibri"/>
        <family val="2"/>
        <charset val="1"/>
        <scheme val="minor"/>
      </rPr>
      <t xml:space="preserve"> * 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/ V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≥ 1,0</t>
    </r>
  </si>
  <si>
    <r>
      <t>V</t>
    </r>
    <r>
      <rPr>
        <vertAlign val="subscript"/>
        <sz val="8"/>
        <color theme="1"/>
        <rFont val="Calibri"/>
        <family val="2"/>
        <scheme val="minor"/>
      </rPr>
      <t>ucr</t>
    </r>
    <r>
      <rPr>
        <sz val="8"/>
        <color theme="1"/>
        <rFont val="Calibri"/>
        <family val="2"/>
        <scheme val="minor"/>
      </rPr>
      <t xml:space="preserve"> / [0,5 * </t>
    </r>
    <r>
      <rPr>
        <i/>
        <sz val="8"/>
        <color theme="1"/>
        <rFont val="Calibri"/>
        <family val="2"/>
      </rPr>
      <t>φ</t>
    </r>
    <r>
      <rPr>
        <sz val="8"/>
        <color theme="1"/>
        <rFont val="Calibri"/>
        <family val="2"/>
      </rPr>
      <t xml:space="preserve"> * (V</t>
    </r>
    <r>
      <rPr>
        <vertAlign val="subscript"/>
        <sz val="8"/>
        <color theme="1"/>
        <rFont val="Calibri"/>
        <family val="2"/>
      </rPr>
      <t>c</t>
    </r>
    <r>
      <rPr>
        <sz val="8"/>
        <color theme="1"/>
        <rFont val="Calibri"/>
        <family val="2"/>
      </rPr>
      <t xml:space="preserve"> + V</t>
    </r>
    <r>
      <rPr>
        <vertAlign val="subscript"/>
        <sz val="8"/>
        <color theme="1"/>
        <rFont val="Calibri"/>
        <family val="2"/>
      </rPr>
      <t>p</t>
    </r>
    <r>
      <rPr>
        <sz val="8"/>
        <color theme="1"/>
        <rFont val="Calibri"/>
        <family val="2"/>
      </rPr>
      <t>)] &gt; 1</t>
    </r>
  </si>
  <si>
    <r>
      <t>|M</t>
    </r>
    <r>
      <rPr>
        <vertAlign val="subscript"/>
        <sz val="8"/>
        <color theme="1"/>
        <rFont val="Calibri"/>
        <family val="2"/>
        <scheme val="minor"/>
      </rPr>
      <t>ucr</t>
    </r>
    <r>
      <rPr>
        <sz val="8"/>
        <color theme="1"/>
        <rFont val="Calibri"/>
        <family val="2"/>
        <scheme val="minor"/>
      </rPr>
      <t>| / |V</t>
    </r>
    <r>
      <rPr>
        <vertAlign val="subscript"/>
        <sz val="8"/>
        <color theme="1"/>
        <rFont val="Calibri"/>
        <family val="2"/>
        <scheme val="minor"/>
      </rPr>
      <t>ucr</t>
    </r>
    <r>
      <rPr>
        <sz val="8"/>
        <color theme="1"/>
        <rFont val="Calibri"/>
        <family val="2"/>
        <scheme val="minor"/>
      </rPr>
      <t xml:space="preserve"> - V</t>
    </r>
    <r>
      <rPr>
        <vertAlign val="subscript"/>
        <sz val="8"/>
        <color theme="1"/>
        <rFont val="Calibri"/>
        <family val="2"/>
        <scheme val="minor"/>
      </rPr>
      <t>p</t>
    </r>
    <r>
      <rPr>
        <sz val="8"/>
        <color theme="1"/>
        <rFont val="Calibri"/>
        <family val="2"/>
        <scheme val="minor"/>
      </rPr>
      <t>|* d</t>
    </r>
    <r>
      <rPr>
        <vertAlign val="subscript"/>
        <sz val="8"/>
        <color theme="1"/>
        <rFont val="Calibri"/>
        <family val="2"/>
        <scheme val="minor"/>
      </rPr>
      <t>v</t>
    </r>
    <r>
      <rPr>
        <sz val="8"/>
        <color theme="1"/>
        <rFont val="Calibri"/>
        <family val="2"/>
        <scheme val="minor"/>
      </rPr>
      <t xml:space="preserve"> &gt; 1</t>
    </r>
  </si>
  <si>
    <r>
      <t>ε</t>
    </r>
    <r>
      <rPr>
        <vertAlign val="subscript"/>
        <sz val="11"/>
        <color theme="1"/>
        <rFont val="Calibri"/>
        <family val="2"/>
      </rPr>
      <t>s</t>
    </r>
  </si>
  <si>
    <r>
      <t>V</t>
    </r>
    <r>
      <rPr>
        <vertAlign val="subscript"/>
        <sz val="11"/>
        <color theme="1"/>
        <rFont val="Calibri"/>
        <family val="2"/>
        <scheme val="minor"/>
      </rPr>
      <t>c</t>
    </r>
  </si>
  <si>
    <t>Regangan longitudinal di baja tulangan,</t>
  </si>
  <si>
    <r>
      <t>N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charset val="1"/>
        <scheme val="minor"/>
      </rPr>
      <t xml:space="preserve"> = </t>
    </r>
  </si>
  <si>
    <r>
      <t xml:space="preserve">Faktor </t>
    </r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charset val="1"/>
      </rPr>
      <t>,</t>
    </r>
  </si>
  <si>
    <t>Sudut tegangan utama,</t>
  </si>
  <si>
    <t>Kuat geser beton,</t>
  </si>
  <si>
    <t>Gaya geser tulangan baja perlu,</t>
  </si>
  <si>
    <t>Jarak antar tulangan geser rencana,</t>
  </si>
  <si>
    <t>Kekuatan geser nominal,</t>
  </si>
  <si>
    <t>Kekuatan geser nominal yang digunakan,</t>
  </si>
  <si>
    <r>
      <t>d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charset val="1"/>
        <scheme val="minor"/>
      </rPr>
      <t xml:space="preserve"> = H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- Z</t>
    </r>
    <r>
      <rPr>
        <vertAlign val="subscript"/>
        <sz val="11"/>
        <color theme="1"/>
        <rFont val="Calibri"/>
        <family val="2"/>
        <scheme val="minor"/>
      </rPr>
      <t>o</t>
    </r>
  </si>
  <si>
    <r>
      <t>r</t>
    </r>
    <r>
      <rPr>
        <vertAlign val="subscript"/>
        <sz val="11"/>
        <color theme="1"/>
        <rFont val="Calibri"/>
        <family val="2"/>
        <scheme val="minor"/>
      </rPr>
      <t>tendon</t>
    </r>
    <r>
      <rPr>
        <sz val="11"/>
        <color theme="1"/>
        <rFont val="Calibri"/>
        <family val="2"/>
        <charset val="1"/>
        <scheme val="minor"/>
      </rPr>
      <t xml:space="preserve"> = </t>
    </r>
    <r>
      <rPr>
        <sz val="11"/>
        <color theme="1"/>
        <rFont val="Calibri"/>
        <family val="2"/>
      </rPr>
      <t xml:space="preserve">√[ </t>
    </r>
    <r>
      <rPr>
        <sz val="11"/>
        <color theme="1"/>
        <rFont val="Calibri"/>
        <family val="2"/>
        <charset val="1"/>
      </rPr>
      <t>(y</t>
    </r>
    <r>
      <rPr>
        <vertAlign val="subscript"/>
        <sz val="11"/>
        <color theme="1"/>
        <rFont val="Calibri"/>
        <family val="2"/>
      </rPr>
      <t>end</t>
    </r>
    <r>
      <rPr>
        <sz val="11"/>
        <color theme="1"/>
        <rFont val="Calibri"/>
        <family val="2"/>
        <charset val="1"/>
      </rPr>
      <t xml:space="preserve"> - y</t>
    </r>
    <r>
      <rPr>
        <vertAlign val="subscript"/>
        <sz val="11"/>
        <color theme="1"/>
        <rFont val="Calibri"/>
        <family val="2"/>
      </rPr>
      <t>x</t>
    </r>
    <r>
      <rPr>
        <sz val="11"/>
        <color theme="1"/>
        <rFont val="Calibri"/>
        <family val="2"/>
        <charset val="1"/>
      </rPr>
      <t>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charset val="1"/>
      </rPr>
      <t xml:space="preserve"> + X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charset val="1"/>
      </rPr>
      <t xml:space="preserve"> ]</t>
    </r>
  </si>
  <si>
    <r>
      <t>v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eff</t>
    </r>
    <r>
      <rPr>
        <sz val="11"/>
        <color theme="1"/>
        <rFont val="Calibri"/>
        <family val="2"/>
        <charset val="1"/>
        <scheme val="minor"/>
      </rPr>
      <t xml:space="preserve"> * (y</t>
    </r>
    <r>
      <rPr>
        <vertAlign val="subscript"/>
        <sz val="11"/>
        <color theme="1"/>
        <rFont val="Calibri"/>
        <family val="2"/>
        <scheme val="minor"/>
      </rPr>
      <t>end</t>
    </r>
    <r>
      <rPr>
        <sz val="11"/>
        <color theme="1"/>
        <rFont val="Calibri"/>
        <family val="2"/>
        <charset val="1"/>
        <scheme val="minor"/>
      </rPr>
      <t xml:space="preserve"> - y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>) / r</t>
    </r>
    <r>
      <rPr>
        <vertAlign val="subscript"/>
        <sz val="11"/>
        <color theme="1"/>
        <rFont val="Calibri"/>
        <family val="2"/>
        <scheme val="minor"/>
      </rPr>
      <t>tendon</t>
    </r>
  </si>
  <si>
    <r>
      <t>ε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 ( M</t>
    </r>
    <r>
      <rPr>
        <vertAlign val="subscript"/>
        <sz val="11"/>
        <color theme="1"/>
        <rFont val="Calibri"/>
        <family val="2"/>
        <scheme val="minor"/>
      </rPr>
      <t>ucr</t>
    </r>
    <r>
      <rPr>
        <sz val="11"/>
        <color theme="1"/>
        <rFont val="Calibri"/>
        <family val="2"/>
        <charset val="1"/>
        <scheme val="minor"/>
      </rPr>
      <t>/d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+ 0,5 * N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charset val="1"/>
        <scheme val="minor"/>
      </rPr>
      <t xml:space="preserve"> + |V</t>
    </r>
    <r>
      <rPr>
        <vertAlign val="subscript"/>
        <sz val="11"/>
        <color theme="1"/>
        <rFont val="Calibri"/>
        <family val="2"/>
        <scheme val="minor"/>
      </rPr>
      <t>ucr</t>
    </r>
    <r>
      <rPr>
        <sz val="11"/>
        <color theme="1"/>
        <rFont val="Calibri"/>
        <family val="2"/>
        <charset val="1"/>
        <scheme val="minor"/>
      </rPr>
      <t xml:space="preserve"> - V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>| - A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charset val="1"/>
        <scheme val="minor"/>
      </rPr>
      <t xml:space="preserve"> * 0,7 * f</t>
    </r>
    <r>
      <rPr>
        <vertAlign val="subscript"/>
        <sz val="11"/>
        <color theme="1"/>
        <rFont val="Calibri"/>
        <family val="2"/>
        <scheme val="minor"/>
      </rPr>
      <t>pu</t>
    </r>
    <r>
      <rPr>
        <sz val="11"/>
        <color theme="1"/>
        <rFont val="Calibri"/>
        <family val="2"/>
        <charset val="1"/>
        <scheme val="minor"/>
      </rPr>
      <t xml:space="preserve"> ) / (E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charset val="1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ps</t>
    </r>
    <r>
      <rPr>
        <sz val="11"/>
        <color theme="1"/>
        <rFont val="Calibri"/>
        <family val="2"/>
        <charset val="1"/>
        <scheme val="minor"/>
      </rPr>
      <t>)</t>
    </r>
  </si>
  <si>
    <r>
      <t xml:space="preserve">β = 4,8 / (1 + 750 * </t>
    </r>
    <r>
      <rPr>
        <sz val="11"/>
        <color theme="1"/>
        <rFont val="Calibri"/>
        <family val="2"/>
      </rPr>
      <t>ε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  <charset val="1"/>
      </rPr>
      <t>)</t>
    </r>
  </si>
  <si>
    <r>
      <t xml:space="preserve">θ = 29 + 3500 * </t>
    </r>
    <r>
      <rPr>
        <sz val="11"/>
        <color theme="1"/>
        <rFont val="Calibri"/>
        <family val="2"/>
      </rPr>
      <t>ε</t>
    </r>
    <r>
      <rPr>
        <vertAlign val="subscript"/>
        <sz val="11"/>
        <color theme="1"/>
        <rFont val="Calibri"/>
        <family val="2"/>
      </rPr>
      <t>s</t>
    </r>
  </si>
  <si>
    <r>
      <t>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 0,083 * </t>
    </r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charset val="1"/>
      </rPr>
      <t xml:space="preserve"> * 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charset val="1"/>
      </rPr>
      <t>( f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1"/>
      </rPr>
      <t>') * b</t>
    </r>
    <r>
      <rPr>
        <vertAlign val="subscript"/>
        <sz val="11"/>
        <color theme="1"/>
        <rFont val="Calibri"/>
        <family val="2"/>
      </rPr>
      <t>v</t>
    </r>
    <r>
      <rPr>
        <sz val="11"/>
        <color theme="1"/>
        <rFont val="Calibri"/>
        <family val="2"/>
        <charset val="1"/>
      </rPr>
      <t xml:space="preserve"> * d</t>
    </r>
    <r>
      <rPr>
        <vertAlign val="subscript"/>
        <sz val="11"/>
        <color theme="1"/>
        <rFont val="Calibri"/>
        <family val="2"/>
      </rPr>
      <t>v</t>
    </r>
  </si>
  <si>
    <r>
      <t>V</t>
    </r>
    <r>
      <rPr>
        <vertAlign val="subscript"/>
        <sz val="11"/>
        <color theme="1"/>
        <rFont val="Calibri"/>
        <family val="2"/>
        <scheme val="minor"/>
      </rPr>
      <t>s-req</t>
    </r>
    <r>
      <rPr>
        <sz val="11"/>
        <color theme="1"/>
        <rFont val="Calibri"/>
        <family val="2"/>
        <charset val="1"/>
        <scheme val="minor"/>
      </rPr>
      <t xml:space="preserve"> = V</t>
    </r>
    <r>
      <rPr>
        <vertAlign val="subscript"/>
        <sz val="11"/>
        <color theme="1"/>
        <rFont val="Calibri"/>
        <family val="2"/>
        <scheme val="minor"/>
      </rPr>
      <t>ucr</t>
    </r>
    <r>
      <rPr>
        <sz val="11"/>
        <color theme="1"/>
        <rFont val="Calibri"/>
        <family val="2"/>
        <charset val="1"/>
        <scheme val="minor"/>
      </rPr>
      <t xml:space="preserve"> / </t>
    </r>
    <r>
      <rPr>
        <i/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charset val="1"/>
      </rPr>
      <t xml:space="preserve"> - V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1"/>
      </rPr>
      <t xml:space="preserve"> - V</t>
    </r>
    <r>
      <rPr>
        <vertAlign val="subscript"/>
        <sz val="11"/>
        <color theme="1"/>
        <rFont val="Calibri"/>
        <family val="2"/>
      </rPr>
      <t>p</t>
    </r>
  </si>
  <si>
    <r>
      <t>S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 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f</t>
    </r>
    <r>
      <rPr>
        <vertAlign val="subscript"/>
        <sz val="11"/>
        <color theme="1"/>
        <rFont val="Calibri"/>
        <family val="2"/>
        <scheme val="minor"/>
      </rPr>
      <t>yv</t>
    </r>
    <r>
      <rPr>
        <sz val="11"/>
        <color theme="1"/>
        <rFont val="Calibri"/>
        <family val="2"/>
        <charset val="1"/>
        <scheme val="minor"/>
      </rPr>
      <t xml:space="preserve"> * d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cot (</t>
    </r>
    <r>
      <rPr>
        <sz val="11"/>
        <color theme="1"/>
        <rFont val="Calibri"/>
        <family val="2"/>
      </rPr>
      <t>θ</t>
    </r>
    <r>
      <rPr>
        <sz val="11"/>
        <color theme="1"/>
        <rFont val="Calibri"/>
        <family val="2"/>
        <charset val="1"/>
      </rPr>
      <t>) / V</t>
    </r>
    <r>
      <rPr>
        <vertAlign val="subscript"/>
        <sz val="11"/>
        <color theme="1"/>
        <rFont val="Calibri"/>
        <family val="2"/>
      </rPr>
      <t>s-req</t>
    </r>
  </si>
  <si>
    <r>
      <t>V</t>
    </r>
    <r>
      <rPr>
        <vertAlign val="subscript"/>
        <sz val="11"/>
        <color theme="1"/>
        <rFont val="Calibri"/>
        <family val="2"/>
        <scheme val="minor"/>
      </rPr>
      <t>n1</t>
    </r>
    <r>
      <rPr>
        <sz val="11"/>
        <color theme="1"/>
        <rFont val="Calibri"/>
        <family val="2"/>
        <charset val="1"/>
        <scheme val="minor"/>
      </rPr>
      <t xml:space="preserve"> = 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+ V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+ V</t>
    </r>
    <r>
      <rPr>
        <vertAlign val="subscript"/>
        <sz val="11"/>
        <color theme="1"/>
        <rFont val="Calibri"/>
        <family val="2"/>
        <scheme val="minor"/>
      </rPr>
      <t xml:space="preserve">p </t>
    </r>
  </si>
  <si>
    <r>
      <t>V</t>
    </r>
    <r>
      <rPr>
        <vertAlign val="subscript"/>
        <sz val="11"/>
        <color theme="1"/>
        <rFont val="Calibri"/>
        <family val="2"/>
        <scheme val="minor"/>
      </rPr>
      <t>n2</t>
    </r>
    <r>
      <rPr>
        <sz val="11"/>
        <color theme="1"/>
        <rFont val="Calibri"/>
        <family val="2"/>
        <charset val="1"/>
        <scheme val="minor"/>
      </rPr>
      <t xml:space="preserve"> = 0,25 * 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>' * b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* d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+ V</t>
    </r>
    <r>
      <rPr>
        <vertAlign val="subscript"/>
        <sz val="11"/>
        <color theme="1"/>
        <rFont val="Calibri"/>
        <family val="2"/>
        <scheme val="minor"/>
      </rPr>
      <t>p</t>
    </r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</si>
  <si>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charset val="1"/>
        <scheme val="minor"/>
      </rPr>
      <t xml:space="preserve"> = min( V</t>
    </r>
    <r>
      <rPr>
        <vertAlign val="subscript"/>
        <sz val="11"/>
        <color theme="1"/>
        <rFont val="Calibri"/>
        <family val="2"/>
        <scheme val="minor"/>
      </rPr>
      <t>n1</t>
    </r>
    <r>
      <rPr>
        <sz val="11"/>
        <color theme="1"/>
        <rFont val="Calibri"/>
        <family val="2"/>
        <charset val="1"/>
        <scheme val="minor"/>
      </rPr>
      <t xml:space="preserve"> ; V</t>
    </r>
    <r>
      <rPr>
        <vertAlign val="subscript"/>
        <sz val="11"/>
        <color theme="1"/>
        <rFont val="Calibri"/>
        <family val="2"/>
        <scheme val="minor"/>
      </rPr>
      <t>n2</t>
    </r>
    <r>
      <rPr>
        <sz val="11"/>
        <color theme="1"/>
        <rFont val="Calibri"/>
        <family val="2"/>
        <charset val="1"/>
        <scheme val="minor"/>
      </rPr>
      <t>)</t>
    </r>
  </si>
  <si>
    <t>Note :</t>
  </si>
  <si>
    <t>A.10.</t>
  </si>
  <si>
    <t>PERHITUNGAN GESER PADA GIRDER</t>
  </si>
  <si>
    <t>TABEL PERHITUNGAN GESER PADA GIRDER</t>
  </si>
  <si>
    <t>REKAPITULASI PERBANDINGAN GESER KRITIS TERHADAP GESER NOMINAL</t>
  </si>
  <si>
    <t xml:space="preserve">REPORT OUTPUT EXCEL SPREADSHEET </t>
  </si>
  <si>
    <t>• Nama Program</t>
  </si>
  <si>
    <t>Perencanaan Bentang Jembatan Pre Cast I Girder</t>
  </si>
  <si>
    <t xml:space="preserve">• Versi </t>
  </si>
  <si>
    <t>• Penyusun</t>
  </si>
  <si>
    <t>Indra K Raj Suweda</t>
  </si>
  <si>
    <t>• email</t>
  </si>
  <si>
    <t>A.</t>
  </si>
  <si>
    <t>DATA PERENCANAAN</t>
  </si>
  <si>
    <t>PEMBEBANAN DAN GAYA DALAM PADA GIRDER</t>
  </si>
  <si>
    <t>Tabel bidang geser pada masing - masing beban serta bidang geser untuk masing - masing kombinasi beban.</t>
  </si>
  <si>
    <t>Tabel bidang momen pada masing - masing beban serta bidang momen untuk masing - masing kombinasi beban.</t>
  </si>
  <si>
    <t>Grafik yang menunjukan bidang momen pada masing - masing beban serta bidang geser untuk masing - masing kombinasi beban.</t>
  </si>
  <si>
    <t>Grafik yang menunjukan bidang geser pada masing - masing beban serta bidang geser untuk masing - masing kombinasi beban.</t>
  </si>
  <si>
    <t xml:space="preserve">ANALISA &amp; PERENCANAAN PC I GIRDER </t>
  </si>
  <si>
    <t>Nilai - nilai dimensi pada penampang balok girder</t>
  </si>
  <si>
    <t>X =</t>
  </si>
  <si>
    <t>ANALISA TRACE MASING _ MASING TENDON</t>
  </si>
  <si>
    <t>Pada tabel di bawah ini menunjukan trace dari masing - masing cable tendon.</t>
  </si>
  <si>
    <t>Pada grafik di bawah ini menunjukan trace dari masing - masing cable tendon.</t>
  </si>
  <si>
    <t>ANALISA KEHILANGAN GAYA PRATEGANG</t>
  </si>
  <si>
    <t>Grafik di bawah ini menunjukan perilaku kehilangan gaya prategang pada tendon</t>
  </si>
  <si>
    <t>ANALISA TEGANGAN PADA GIRDER DI TUMPUAN DAN LAPANGAN</t>
  </si>
  <si>
    <t>= Tekan</t>
  </si>
  <si>
    <t>= Tarik</t>
  </si>
  <si>
    <t>ANALISA &amp; KONTROL LENDUTAN PADA TENGAH BENTANG GIRDER</t>
  </si>
  <si>
    <t>ANALISA KAPASITAS MOMEN NOMINAL PADA PENAMPANG GIRDER</t>
  </si>
  <si>
    <t>ANALISA KEBUTUHAN TULANGAN GESER PADA PENAMPANG GIRDER</t>
  </si>
  <si>
    <t>Pada tabel di bawah ini menunjukan nilai - nilai dari proses perhitungan pada masing station pada girder.</t>
  </si>
  <si>
    <t>Pada grafik di bawah ini menunjukan dari kapasitas geser girder terhadap nilai geser kritis.</t>
  </si>
  <si>
    <t>1.1.0</t>
  </si>
  <si>
    <r>
      <t>f</t>
    </r>
    <r>
      <rPr>
        <vertAlign val="subscript"/>
        <sz val="10"/>
        <color theme="1"/>
        <rFont val="Calibri"/>
        <family val="2"/>
        <scheme val="minor"/>
      </rPr>
      <t>ac</t>
    </r>
    <r>
      <rPr>
        <sz val="10"/>
        <color theme="1"/>
        <rFont val="Calibri"/>
        <family val="2"/>
        <scheme val="minor"/>
      </rPr>
      <t>'</t>
    </r>
    <r>
      <rPr>
        <vertAlign val="subscript"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= - P</t>
    </r>
    <r>
      <rPr>
        <vertAlign val="subscript"/>
        <sz val="10"/>
        <color theme="1"/>
        <rFont val="Calibri"/>
        <family val="2"/>
        <scheme val="minor"/>
      </rPr>
      <t>eff</t>
    </r>
    <r>
      <rPr>
        <sz val="10"/>
        <color theme="1"/>
        <rFont val="Calibri"/>
        <family val="2"/>
        <scheme val="minor"/>
      </rPr>
      <t xml:space="preserve"> / A + P</t>
    </r>
    <r>
      <rPr>
        <vertAlign val="subscript"/>
        <sz val="10"/>
        <color theme="1"/>
        <rFont val="Calibri"/>
        <family val="2"/>
        <scheme val="minor"/>
      </rPr>
      <t>eff</t>
    </r>
    <r>
      <rPr>
        <sz val="10"/>
        <color theme="1"/>
        <rFont val="Calibri"/>
        <family val="2"/>
        <scheme val="minor"/>
      </rPr>
      <t xml:space="preserve"> * e</t>
    </r>
    <r>
      <rPr>
        <vertAlign val="subscript"/>
        <sz val="10"/>
        <color theme="1"/>
        <rFont val="Calibri"/>
        <family val="2"/>
        <scheme val="minor"/>
      </rPr>
      <t>s</t>
    </r>
    <r>
      <rPr>
        <sz val="10"/>
        <color theme="1"/>
        <rFont val="Calibri"/>
        <family val="2"/>
        <scheme val="minor"/>
      </rPr>
      <t xml:space="preserve"> / W</t>
    </r>
    <r>
      <rPr>
        <vertAlign val="sub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- M</t>
    </r>
    <r>
      <rPr>
        <vertAlign val="subscript"/>
        <sz val="10"/>
        <color theme="1"/>
        <rFont val="Calibri"/>
        <family val="2"/>
        <scheme val="minor"/>
      </rPr>
      <t>balok+plat</t>
    </r>
    <r>
      <rPr>
        <sz val="10"/>
        <color theme="1"/>
        <rFont val="Calibri"/>
        <family val="2"/>
        <scheme val="minor"/>
      </rPr>
      <t xml:space="preserve"> / W</t>
    </r>
    <r>
      <rPr>
        <vertAlign val="sub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- M</t>
    </r>
    <r>
      <rPr>
        <vertAlign val="subscript"/>
        <sz val="10"/>
        <color theme="1"/>
        <rFont val="Calibri"/>
        <family val="2"/>
        <scheme val="minor"/>
      </rPr>
      <t>MA</t>
    </r>
    <r>
      <rPr>
        <sz val="10"/>
        <color theme="1"/>
        <rFont val="Calibri"/>
        <family val="2"/>
        <scheme val="minor"/>
      </rPr>
      <t xml:space="preserve"> / W</t>
    </r>
    <r>
      <rPr>
        <vertAlign val="subscript"/>
        <sz val="10"/>
        <color theme="1"/>
        <rFont val="Calibri"/>
        <family val="2"/>
        <scheme val="minor"/>
      </rPr>
      <t>ac</t>
    </r>
    <r>
      <rPr>
        <sz val="10"/>
        <color theme="1"/>
        <rFont val="Calibri"/>
        <family val="2"/>
        <scheme val="minor"/>
      </rPr>
      <t>' - 0,8 * M</t>
    </r>
    <r>
      <rPr>
        <vertAlign val="subscript"/>
        <sz val="10"/>
        <color theme="1"/>
        <rFont val="Calibri"/>
        <family val="2"/>
        <scheme val="minor"/>
      </rPr>
      <t>LL</t>
    </r>
    <r>
      <rPr>
        <sz val="10"/>
        <color theme="1"/>
        <rFont val="Calibri"/>
        <family val="2"/>
        <scheme val="minor"/>
      </rPr>
      <t xml:space="preserve"> / W</t>
    </r>
    <r>
      <rPr>
        <vertAlign val="subscript"/>
        <sz val="10"/>
        <color theme="1"/>
        <rFont val="Calibri"/>
        <family val="2"/>
        <scheme val="minor"/>
      </rPr>
      <t>ac</t>
    </r>
    <r>
      <rPr>
        <sz val="10"/>
        <color theme="1"/>
        <rFont val="Calibri"/>
        <family val="2"/>
        <scheme val="minor"/>
      </rPr>
      <t>'</t>
    </r>
    <r>
      <rPr>
        <vertAlign val="sub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=</t>
    </r>
  </si>
  <si>
    <t>Output Dimensi Girder PC I</t>
  </si>
  <si>
    <t>B.</t>
  </si>
  <si>
    <t>GAYA PRATEGANG AKIBAT JACKING PADA MASING-MASING TENDON</t>
  </si>
  <si>
    <t>No</t>
  </si>
  <si>
    <r>
      <t>n</t>
    </r>
    <r>
      <rPr>
        <b/>
        <vertAlign val="subscript"/>
        <sz val="10"/>
        <color theme="1"/>
        <rFont val="Calibri"/>
        <family val="2"/>
        <scheme val="minor"/>
      </rPr>
      <t>s</t>
    </r>
  </si>
  <si>
    <r>
      <t>p</t>
    </r>
    <r>
      <rPr>
        <b/>
        <vertAlign val="subscript"/>
        <sz val="10"/>
        <color theme="1"/>
        <rFont val="Calibri"/>
        <family val="2"/>
        <scheme val="minor"/>
      </rPr>
      <t>o</t>
    </r>
  </si>
  <si>
    <r>
      <t>P</t>
    </r>
    <r>
      <rPr>
        <b/>
        <vertAlign val="subscript"/>
        <sz val="10"/>
        <color theme="1"/>
        <rFont val="Calibri"/>
        <family val="2"/>
        <scheme val="minor"/>
      </rPr>
      <t>j</t>
    </r>
  </si>
  <si>
    <t>Cable</t>
  </si>
  <si>
    <t>(Strand)</t>
  </si>
  <si>
    <t>(kN)</t>
  </si>
  <si>
    <t>C.</t>
  </si>
  <si>
    <t>POSISI MASING - MASING TENDON PADA GIRDER</t>
  </si>
  <si>
    <t>D.</t>
  </si>
  <si>
    <t>KEHILANGAN GAYA PRATEGANG</t>
  </si>
  <si>
    <t>E.</t>
  </si>
  <si>
    <t>F.</t>
  </si>
  <si>
    <t>TEGANGAN PADA GIRDER DI TUMPUAN DAN LAMPANGAN</t>
  </si>
  <si>
    <t>G.</t>
  </si>
  <si>
    <t>KONTROL LENDUTAN DAN KAPASITAS MOMEN</t>
  </si>
  <si>
    <t>KONTROL LENDUTAN BALOK PC I GIRDER</t>
  </si>
  <si>
    <t>KONTROL KAPASITAS BALOK PC I GIRDER</t>
  </si>
  <si>
    <t>H.</t>
  </si>
  <si>
    <t>TULANGAN GESER PADA PENAMPANG GIRDER</t>
  </si>
  <si>
    <r>
      <t>S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Pakai</t>
    </r>
  </si>
  <si>
    <r>
      <t>D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Pakai</t>
    </r>
  </si>
  <si>
    <t>REKAPITULASI PERHITUNGAN SPREADSHEET</t>
  </si>
  <si>
    <t>B.4.</t>
  </si>
  <si>
    <t>B.5.</t>
  </si>
  <si>
    <t>B.6.</t>
  </si>
  <si>
    <t>B.7.</t>
  </si>
  <si>
    <t>C.9.</t>
  </si>
  <si>
    <t>D.1.</t>
  </si>
  <si>
    <t>D.2.</t>
  </si>
  <si>
    <t>D.3.</t>
  </si>
  <si>
    <t>D.4.</t>
  </si>
  <si>
    <t>D.5.</t>
  </si>
  <si>
    <t>D.6.</t>
  </si>
  <si>
    <t>D.7.</t>
  </si>
  <si>
    <t>D.8.</t>
  </si>
  <si>
    <t>D.8.1.</t>
  </si>
  <si>
    <t>D.8.2.</t>
  </si>
  <si>
    <t>D.8.3.</t>
  </si>
  <si>
    <t>F.4.</t>
  </si>
  <si>
    <t>F.5.</t>
  </si>
  <si>
    <t>F.6.</t>
  </si>
  <si>
    <t>F.7.</t>
  </si>
  <si>
    <t>F.8.</t>
  </si>
  <si>
    <t>H.1.1.</t>
  </si>
  <si>
    <t>H.1.2.</t>
  </si>
  <si>
    <t>H.1.3.</t>
  </si>
  <si>
    <t>H.3.1.</t>
  </si>
  <si>
    <t>H.3.2.</t>
  </si>
  <si>
    <t>H.3.3.</t>
  </si>
  <si>
    <t>H.3.4.</t>
  </si>
  <si>
    <t>H.3.5.</t>
  </si>
  <si>
    <t>H.3.6.</t>
  </si>
  <si>
    <t>H.3.7.</t>
  </si>
  <si>
    <t>I.</t>
  </si>
  <si>
    <t>I.1.</t>
  </si>
  <si>
    <t>I.2.</t>
  </si>
  <si>
    <t>I.3.</t>
  </si>
  <si>
    <t>J.</t>
  </si>
  <si>
    <t>J.2.</t>
  </si>
  <si>
    <t>V1.1.0</t>
  </si>
  <si>
    <t>Nopember 2022</t>
  </si>
  <si>
    <t>Update ke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</si>
</sst>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.E+00"/>
    <numFmt numFmtId="166" formatCode="0.000"/>
    <numFmt numFmtId="167" formatCode="0.0000"/>
    <numFmt numFmtId="168" formatCode="0.000000"/>
    <numFmt numFmtId="169" formatCode="0.00.E+00"/>
    <numFmt numFmtId="170" formatCode="0.0%"/>
  </numFmts>
  <fonts count="7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 Light"/>
      <family val="2"/>
      <scheme val="major"/>
    </font>
    <font>
      <b/>
      <vertAlign val="subscript"/>
      <sz val="11"/>
      <color theme="1"/>
      <name val="Calibri Light"/>
      <family val="2"/>
      <scheme val="major"/>
    </font>
    <font>
      <sz val="11"/>
      <name val="Calibri"/>
      <family val="2"/>
      <charset val="1"/>
      <scheme val="minor"/>
    </font>
    <font>
      <vertAlign val="superscript"/>
      <sz val="11"/>
      <color theme="1"/>
      <name val="Calibri"/>
      <family val="2"/>
    </font>
    <font>
      <sz val="8"/>
      <name val="Calibri"/>
      <family val="2"/>
      <charset val="1"/>
      <scheme val="minor"/>
    </font>
    <font>
      <sz val="11"/>
      <color theme="0" tint="-0.249977111117893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vertAlign val="sub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charset val="1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vertAlign val="subscript"/>
      <sz val="10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vertAlign val="subscript"/>
      <sz val="11"/>
      <name val="Calibri"/>
      <family val="2"/>
    </font>
    <font>
      <sz val="11"/>
      <color theme="1"/>
      <name val="Calibri Light"/>
      <family val="2"/>
      <scheme val="maj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</font>
    <font>
      <b/>
      <sz val="8"/>
      <color theme="1"/>
      <name val="Calibri Light"/>
      <family val="2"/>
      <scheme val="major"/>
    </font>
    <font>
      <b/>
      <vertAlign val="subscript"/>
      <sz val="8"/>
      <color theme="1"/>
      <name val="Calibri Light"/>
      <family val="2"/>
      <scheme val="major"/>
    </font>
    <font>
      <vertAlign val="subscript"/>
      <sz val="10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vertAlign val="subscript"/>
      <sz val="8"/>
      <color theme="1"/>
      <name val="Calibri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  <charset val="1"/>
      <scheme val="minor"/>
    </font>
    <font>
      <b/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thin">
        <color theme="0" tint="-0.24994659260841701"/>
      </diagonal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37437055574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24994659260841701"/>
      </right>
      <top style="thin">
        <color theme="0" tint="-0.24994659260841701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14993743705557422"/>
      </right>
      <top style="thin">
        <color theme="0" tint="-0.24994659260841701"/>
      </top>
      <bottom style="thin">
        <color theme="0" tint="-0.149937437055574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5" fillId="0" borderId="0"/>
    <xf numFmtId="164" fontId="6" fillId="0" borderId="0" applyFont="0" applyFill="0" applyBorder="0" applyAlignment="0" applyProtection="0"/>
    <xf numFmtId="0" fontId="13" fillId="0" borderId="0"/>
    <xf numFmtId="0" fontId="48" fillId="0" borderId="0" applyNumberFormat="0" applyFill="0" applyBorder="0" applyAlignment="0" applyProtection="0"/>
  </cellStyleXfs>
  <cellXfs count="6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0" fontId="9" fillId="0" borderId="0" xfId="0" applyFont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3" fillId="0" borderId="0" xfId="0" applyFont="1" applyAlignment="1">
      <alignment vertical="center"/>
    </xf>
    <xf numFmtId="166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quotePrefix="1" applyAlignment="1">
      <alignment vertical="center"/>
    </xf>
    <xf numFmtId="0" fontId="12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167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 vertical="center" indent="1"/>
    </xf>
    <xf numFmtId="0" fontId="0" fillId="0" borderId="0" xfId="0" applyBorder="1" applyAlignment="1">
      <alignment horizontal="left" vertical="center" indent="2"/>
    </xf>
    <xf numFmtId="0" fontId="13" fillId="0" borderId="0" xfId="0" applyFont="1" applyBorder="1" applyAlignment="1">
      <alignment horizontal="right" vertical="center" inden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2" fontId="1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2" xfId="0" applyBorder="1" applyAlignment="1">
      <alignment horizontal="left" vertical="center" indent="1"/>
    </xf>
    <xf numFmtId="0" fontId="13" fillId="0" borderId="2" xfId="0" applyFont="1" applyBorder="1" applyAlignment="1">
      <alignment horizontal="left" vertical="center" indent="1"/>
    </xf>
    <xf numFmtId="167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166" fontId="0" fillId="2" borderId="1" xfId="0" applyNumberFormat="1" applyFill="1" applyBorder="1" applyAlignment="1">
      <alignment horizontal="center"/>
    </xf>
    <xf numFmtId="0" fontId="0" fillId="0" borderId="0" xfId="0" applyFill="1" applyAlignment="1">
      <alignment vertical="center"/>
    </xf>
    <xf numFmtId="16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left" vertical="center" indent="2"/>
    </xf>
    <xf numFmtId="0" fontId="0" fillId="0" borderId="0" xfId="0" applyFill="1" applyAlignment="1">
      <alignment horizontal="left" vertical="center" indent="2"/>
    </xf>
    <xf numFmtId="0" fontId="0" fillId="0" borderId="0" xfId="0" applyFill="1" applyAlignment="1">
      <alignment horizontal="left" vertical="center" indent="1"/>
    </xf>
    <xf numFmtId="166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vertical="center"/>
    </xf>
    <xf numFmtId="167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2" fontId="0" fillId="0" borderId="1" xfId="0" applyNumberForma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indent="1"/>
    </xf>
    <xf numFmtId="9" fontId="0" fillId="0" borderId="1" xfId="0" applyNumberFormat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167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164" fontId="31" fillId="0" borderId="0" xfId="3" applyFont="1" applyAlignment="1">
      <alignment vertical="center"/>
    </xf>
    <xf numFmtId="0" fontId="31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 indent="2"/>
    </xf>
    <xf numFmtId="2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0" fontId="31" fillId="0" borderId="0" xfId="1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 indent="1"/>
    </xf>
    <xf numFmtId="9" fontId="31" fillId="0" borderId="0" xfId="1" applyFont="1" applyFill="1" applyAlignment="1">
      <alignment horizontal="center" vertical="center"/>
    </xf>
    <xf numFmtId="10" fontId="31" fillId="0" borderId="0" xfId="1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10" fontId="32" fillId="0" borderId="0" xfId="1" applyNumberFormat="1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right" vertical="center"/>
    </xf>
    <xf numFmtId="9" fontId="0" fillId="0" borderId="1" xfId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Fill="1" applyAlignment="1">
      <alignment horizontal="left" vertical="center" indent="1"/>
    </xf>
    <xf numFmtId="166" fontId="13" fillId="0" borderId="0" xfId="0" applyNumberFormat="1" applyFont="1" applyFill="1" applyAlignment="1">
      <alignment horizontal="left" vertical="center" indent="2"/>
    </xf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0" xfId="0" applyNumberFormat="1" applyFill="1" applyAlignment="1">
      <alignment horizontal="left" vertical="center" indent="2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7" fontId="13" fillId="0" borderId="1" xfId="4" applyNumberFormat="1" applyFont="1" applyBorder="1" applyAlignment="1">
      <alignment horizontal="center" vertical="center"/>
    </xf>
    <xf numFmtId="167" fontId="13" fillId="0" borderId="0" xfId="4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Border="1" applyAlignment="1">
      <alignment horizontal="right" vertical="center"/>
    </xf>
    <xf numFmtId="2" fontId="13" fillId="0" borderId="1" xfId="4" applyNumberFormat="1" applyFont="1" applyBorder="1" applyAlignment="1">
      <alignment horizontal="center" vertical="center"/>
    </xf>
    <xf numFmtId="166" fontId="13" fillId="0" borderId="1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13" fillId="0" borderId="0" xfId="4" applyFont="1" applyAlignment="1">
      <alignment horizontal="left" vertical="center" indent="1"/>
    </xf>
    <xf numFmtId="0" fontId="13" fillId="0" borderId="0" xfId="4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 indent="1"/>
    </xf>
    <xf numFmtId="0" fontId="13" fillId="0" borderId="0" xfId="4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1" fontId="13" fillId="0" borderId="1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34" fillId="7" borderId="1" xfId="0" applyFont="1" applyFill="1" applyBorder="1" applyAlignment="1">
      <alignment vertical="center"/>
    </xf>
    <xf numFmtId="0" fontId="35" fillId="7" borderId="1" xfId="0" applyFont="1" applyFill="1" applyBorder="1" applyAlignment="1">
      <alignment horizontal="center" vertical="center"/>
    </xf>
    <xf numFmtId="0" fontId="30" fillId="7" borderId="1" xfId="0" quotePrefix="1" applyNumberFormat="1" applyFont="1" applyFill="1" applyBorder="1" applyAlignment="1">
      <alignment horizontal="center" vertical="center"/>
    </xf>
    <xf numFmtId="0" fontId="30" fillId="7" borderId="1" xfId="0" quotePrefix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2" fontId="17" fillId="3" borderId="1" xfId="0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right" vertical="center"/>
    </xf>
    <xf numFmtId="16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indent="1"/>
    </xf>
    <xf numFmtId="167" fontId="0" fillId="0" borderId="1" xfId="0" applyNumberFormat="1" applyFont="1" applyBorder="1" applyAlignment="1">
      <alignment horizontal="center" vertical="center"/>
    </xf>
    <xf numFmtId="16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" fontId="16" fillId="0" borderId="1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9" fontId="16" fillId="0" borderId="1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13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0" fillId="6" borderId="1" xfId="0" applyNumberForma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43" fillId="7" borderId="1" xfId="0" applyFont="1" applyFill="1" applyBorder="1" applyAlignment="1">
      <alignment horizontal="center" vertical="center"/>
    </xf>
    <xf numFmtId="0" fontId="16" fillId="0" borderId="0" xfId="2" applyFont="1" applyAlignment="1">
      <alignment vertical="center"/>
    </xf>
    <xf numFmtId="1" fontId="13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right" vertical="center" indent="1"/>
    </xf>
    <xf numFmtId="0" fontId="0" fillId="0" borderId="1" xfId="0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44" fillId="9" borderId="0" xfId="2" applyFont="1" applyFill="1" applyAlignment="1">
      <alignment horizontal="center" vertical="center"/>
    </xf>
    <xf numFmtId="0" fontId="44" fillId="9" borderId="0" xfId="2" applyFont="1" applyFill="1" applyAlignment="1">
      <alignment horizontal="center" vertical="center"/>
    </xf>
    <xf numFmtId="0" fontId="44" fillId="9" borderId="0" xfId="2" applyFont="1" applyFill="1" applyAlignment="1">
      <alignment horizontal="left" vertical="center" indent="1"/>
    </xf>
    <xf numFmtId="2" fontId="34" fillId="6" borderId="1" xfId="0" applyNumberFormat="1" applyFont="1" applyFill="1" applyBorder="1" applyAlignment="1">
      <alignment horizontal="center" vertical="center"/>
    </xf>
    <xf numFmtId="166" fontId="34" fillId="6" borderId="1" xfId="0" applyNumberFormat="1" applyFont="1" applyFill="1" applyBorder="1" applyAlignment="1">
      <alignment horizontal="center" vertical="center"/>
    </xf>
    <xf numFmtId="1" fontId="34" fillId="6" borderId="1" xfId="0" applyNumberFormat="1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165" fontId="34" fillId="6" borderId="1" xfId="0" applyNumberFormat="1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left" vertical="center"/>
    </xf>
    <xf numFmtId="0" fontId="34" fillId="6" borderId="6" xfId="0" applyFont="1" applyFill="1" applyBorder="1" applyAlignment="1">
      <alignment vertical="center"/>
    </xf>
    <xf numFmtId="0" fontId="34" fillId="6" borderId="6" xfId="0" applyFont="1" applyFill="1" applyBorder="1" applyAlignment="1">
      <alignment horizontal="right" vertical="center"/>
    </xf>
    <xf numFmtId="167" fontId="33" fillId="0" borderId="0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0" fontId="35" fillId="10" borderId="19" xfId="0" applyFont="1" applyFill="1" applyBorder="1" applyAlignment="1">
      <alignment horizontal="center"/>
    </xf>
    <xf numFmtId="0" fontId="35" fillId="10" borderId="20" xfId="0" applyFont="1" applyFill="1" applyBorder="1" applyAlignment="1">
      <alignment horizontal="center"/>
    </xf>
    <xf numFmtId="0" fontId="35" fillId="10" borderId="21" xfId="0" applyFont="1" applyFill="1" applyBorder="1" applyAlignment="1">
      <alignment horizontal="center"/>
    </xf>
    <xf numFmtId="0" fontId="35" fillId="10" borderId="22" xfId="0" applyFont="1" applyFill="1" applyBorder="1" applyAlignment="1">
      <alignment horizontal="center"/>
    </xf>
    <xf numFmtId="0" fontId="35" fillId="10" borderId="23" xfId="0" applyFont="1" applyFill="1" applyBorder="1" applyAlignment="1">
      <alignment horizontal="center"/>
    </xf>
    <xf numFmtId="0" fontId="35" fillId="10" borderId="24" xfId="0" applyFont="1" applyFill="1" applyBorder="1" applyAlignment="1">
      <alignment horizontal="center"/>
    </xf>
    <xf numFmtId="0" fontId="12" fillId="6" borderId="1" xfId="1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9" fillId="0" borderId="0" xfId="0" applyFont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1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left" vertical="center" indent="1"/>
    </xf>
    <xf numFmtId="166" fontId="0" fillId="0" borderId="11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right" vertical="center" indent="1"/>
    </xf>
    <xf numFmtId="0" fontId="0" fillId="0" borderId="0" xfId="0" applyFill="1" applyBorder="1" applyAlignment="1">
      <alignment horizontal="left" vertical="center" indent="1"/>
    </xf>
    <xf numFmtId="0" fontId="12" fillId="0" borderId="11" xfId="0" applyFont="1" applyBorder="1" applyAlignment="1">
      <alignment horizontal="left" vertical="center" indent="1"/>
    </xf>
    <xf numFmtId="10" fontId="0" fillId="0" borderId="11" xfId="1" applyNumberFormat="1" applyFon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 wrapText="1"/>
    </xf>
    <xf numFmtId="0" fontId="12" fillId="0" borderId="10" xfId="4" applyFont="1" applyBorder="1" applyAlignment="1">
      <alignment vertical="center"/>
    </xf>
    <xf numFmtId="0" fontId="13" fillId="0" borderId="11" xfId="4" applyFont="1" applyBorder="1" applyAlignment="1">
      <alignment horizontal="center" vertical="center"/>
    </xf>
    <xf numFmtId="0" fontId="13" fillId="0" borderId="11" xfId="4" applyFont="1" applyBorder="1" applyAlignment="1">
      <alignment horizontal="left" vertical="center" indent="1"/>
    </xf>
    <xf numFmtId="0" fontId="13" fillId="0" borderId="10" xfId="4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26" fillId="0" borderId="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66" fontId="16" fillId="0" borderId="11" xfId="0" applyNumberFormat="1" applyFont="1" applyFill="1" applyBorder="1" applyAlignment="1">
      <alignment horizontal="left" vertical="center" indent="1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9" fontId="0" fillId="0" borderId="13" xfId="0" applyNumberFormat="1" applyFill="1" applyBorder="1" applyAlignment="1">
      <alignment horizontal="center" vertical="center"/>
    </xf>
    <xf numFmtId="0" fontId="47" fillId="0" borderId="0" xfId="0" applyFont="1" applyFill="1" applyAlignment="1">
      <alignment horizontal="left" vertical="center"/>
    </xf>
    <xf numFmtId="9" fontId="0" fillId="0" borderId="0" xfId="1" applyFont="1" applyFill="1" applyBorder="1" applyAlignment="1">
      <alignment horizontal="left" vertical="center" indent="1"/>
    </xf>
    <xf numFmtId="10" fontId="0" fillId="0" borderId="0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 indent="1"/>
    </xf>
    <xf numFmtId="0" fontId="0" fillId="0" borderId="3" xfId="0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/>
    </xf>
    <xf numFmtId="17" fontId="16" fillId="0" borderId="1" xfId="0" quotePrefix="1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right" vertical="center"/>
    </xf>
    <xf numFmtId="0" fontId="16" fillId="0" borderId="1" xfId="2" applyFont="1" applyBorder="1" applyAlignment="1">
      <alignment horizontal="center" vertical="center"/>
    </xf>
    <xf numFmtId="166" fontId="16" fillId="0" borderId="1" xfId="2" applyNumberFormat="1" applyFont="1" applyBorder="1" applyAlignment="1">
      <alignment horizontal="center" vertical="center"/>
    </xf>
    <xf numFmtId="0" fontId="34" fillId="0" borderId="0" xfId="2" applyFont="1" applyAlignment="1">
      <alignment horizontal="right" vertical="center"/>
    </xf>
    <xf numFmtId="2" fontId="13" fillId="0" borderId="6" xfId="0" applyNumberFormat="1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 indent="1"/>
    </xf>
    <xf numFmtId="0" fontId="16" fillId="0" borderId="10" xfId="2" applyFont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2" fontId="13" fillId="0" borderId="0" xfId="0" applyNumberFormat="1" applyFont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left" vertical="center" indent="1"/>
    </xf>
    <xf numFmtId="166" fontId="13" fillId="0" borderId="15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right" vertical="center" indent="1"/>
    </xf>
    <xf numFmtId="170" fontId="0" fillId="0" borderId="11" xfId="1" applyNumberFormat="1" applyFont="1" applyBorder="1" applyAlignment="1">
      <alignment horizontal="right" vertical="center" indent="1"/>
    </xf>
    <xf numFmtId="170" fontId="0" fillId="0" borderId="11" xfId="0" applyNumberFormat="1" applyBorder="1" applyAlignment="1">
      <alignment horizontal="right" vertical="center" indent="1"/>
    </xf>
    <xf numFmtId="0" fontId="13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0" fillId="0" borderId="11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2" fontId="0" fillId="0" borderId="0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167" fontId="0" fillId="0" borderId="0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quotePrefix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left" vertical="center" indent="1"/>
    </xf>
    <xf numFmtId="9" fontId="0" fillId="0" borderId="11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left" vertical="center" indent="1"/>
    </xf>
    <xf numFmtId="2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indent="2"/>
    </xf>
    <xf numFmtId="9" fontId="12" fillId="0" borderId="11" xfId="1" applyFont="1" applyFill="1" applyBorder="1" applyAlignment="1">
      <alignment horizontal="left" vertical="center" indent="1"/>
    </xf>
    <xf numFmtId="0" fontId="17" fillId="2" borderId="3" xfId="0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6" fontId="13" fillId="0" borderId="3" xfId="0" applyNumberFormat="1" applyFont="1" applyFill="1" applyBorder="1" applyAlignment="1">
      <alignment horizontal="center" vertical="center"/>
    </xf>
    <xf numFmtId="166" fontId="0" fillId="0" borderId="3" xfId="0" applyNumberFormat="1" applyFill="1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2" borderId="3" xfId="0" applyFill="1" applyBorder="1" applyAlignment="1">
      <alignment horizontal="center"/>
    </xf>
    <xf numFmtId="2" fontId="13" fillId="0" borderId="13" xfId="0" applyNumberFormat="1" applyFont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2" fontId="16" fillId="0" borderId="1" xfId="2" applyNumberFormat="1" applyFont="1" applyBorder="1" applyAlignment="1">
      <alignment horizontal="center" vertical="center"/>
    </xf>
    <xf numFmtId="166" fontId="13" fillId="0" borderId="1" xfId="3" applyNumberFormat="1" applyFont="1" applyBorder="1" applyAlignment="1">
      <alignment horizontal="center" vertical="center"/>
    </xf>
    <xf numFmtId="166" fontId="13" fillId="0" borderId="1" xfId="3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167" fontId="16" fillId="0" borderId="1" xfId="2" applyNumberFormat="1" applyFont="1" applyBorder="1" applyAlignment="1">
      <alignment horizontal="center" vertical="center"/>
    </xf>
    <xf numFmtId="20" fontId="12" fillId="0" borderId="18" xfId="0" quotePrefix="1" applyNumberFormat="1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28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1" fillId="0" borderId="0" xfId="0" applyFont="1" applyFill="1" applyBorder="1" applyAlignment="1">
      <alignment horizontal="left" vertical="center" indent="2"/>
    </xf>
    <xf numFmtId="0" fontId="0" fillId="0" borderId="10" xfId="0" applyFont="1" applyFill="1" applyBorder="1" applyAlignment="1">
      <alignment horizontal="left" vertical="center" indent="2"/>
    </xf>
    <xf numFmtId="0" fontId="50" fillId="11" borderId="0" xfId="0" applyFont="1" applyFill="1" applyAlignment="1">
      <alignment vertical="center"/>
    </xf>
    <xf numFmtId="0" fontId="51" fillId="11" borderId="0" xfId="0" applyFont="1" applyFill="1" applyAlignment="1">
      <alignment horizontal="center" vertical="center"/>
    </xf>
    <xf numFmtId="0" fontId="51" fillId="11" borderId="0" xfId="0" applyFont="1" applyFill="1" applyAlignment="1">
      <alignment vertical="center"/>
    </xf>
    <xf numFmtId="0" fontId="51" fillId="11" borderId="0" xfId="0" quotePrefix="1" applyFont="1" applyFill="1" applyAlignment="1">
      <alignment vertical="center"/>
    </xf>
    <xf numFmtId="0" fontId="52" fillId="11" borderId="0" xfId="5" quotePrefix="1" applyFont="1" applyFill="1" applyAlignment="1">
      <alignment vertical="center"/>
    </xf>
    <xf numFmtId="0" fontId="44" fillId="11" borderId="0" xfId="0" applyFont="1" applyFill="1" applyAlignment="1">
      <alignment vertical="center"/>
    </xf>
    <xf numFmtId="0" fontId="53" fillId="11" borderId="0" xfId="0" applyFont="1" applyFill="1" applyAlignment="1">
      <alignment vertical="center"/>
    </xf>
    <xf numFmtId="0" fontId="44" fillId="11" borderId="0" xfId="0" applyFont="1" applyFill="1" applyAlignment="1">
      <alignment vertical="center" wrapText="1"/>
    </xf>
    <xf numFmtId="0" fontId="54" fillId="11" borderId="0" xfId="5" applyFont="1" applyFill="1" applyAlignment="1">
      <alignment vertical="center"/>
    </xf>
    <xf numFmtId="0" fontId="55" fillId="11" borderId="0" xfId="0" applyFont="1" applyFill="1" applyAlignment="1">
      <alignment vertical="center"/>
    </xf>
    <xf numFmtId="1" fontId="34" fillId="4" borderId="1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5" borderId="25" xfId="0" applyFill="1" applyBorder="1" applyAlignment="1">
      <alignment horizontal="center"/>
    </xf>
    <xf numFmtId="166" fontId="0" fillId="3" borderId="25" xfId="0" applyNumberFormat="1" applyFill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0" fontId="0" fillId="5" borderId="0" xfId="0" applyFill="1" applyBorder="1" applyAlignment="1">
      <alignment horizontal="center"/>
    </xf>
    <xf numFmtId="166" fontId="0" fillId="0" borderId="25" xfId="0" applyNumberFormat="1" applyFill="1" applyBorder="1" applyAlignment="1">
      <alignment horizontal="center"/>
    </xf>
    <xf numFmtId="166" fontId="0" fillId="0" borderId="0" xfId="0" applyNumberFormat="1"/>
    <xf numFmtId="2" fontId="0" fillId="0" borderId="0" xfId="0" applyNumberFormat="1" applyAlignment="1">
      <alignment vertical="center"/>
    </xf>
    <xf numFmtId="166" fontId="1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6" fontId="0" fillId="0" borderId="8" xfId="0" applyNumberFormat="1" applyBorder="1" applyAlignment="1">
      <alignment horizontal="center" vertical="center"/>
    </xf>
    <xf numFmtId="166" fontId="12" fillId="4" borderId="15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44" fillId="12" borderId="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66" fontId="0" fillId="13" borderId="1" xfId="0" applyNumberFormat="1" applyFill="1" applyBorder="1" applyAlignment="1">
      <alignment horizontal="center" vertical="center"/>
    </xf>
    <xf numFmtId="166" fontId="49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8" fillId="3" borderId="1" xfId="0" applyFont="1" applyFill="1" applyBorder="1" applyAlignment="1">
      <alignment vertical="center" wrapText="1"/>
    </xf>
    <xf numFmtId="0" fontId="58" fillId="3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/>
    </xf>
    <xf numFmtId="2" fontId="58" fillId="3" borderId="1" xfId="0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0" fillId="13" borderId="25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2" fontId="0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38" fillId="0" borderId="0" xfId="0" quotePrefix="1" applyFont="1" applyBorder="1" applyAlignment="1">
      <alignment horizontal="center" vertical="center"/>
    </xf>
    <xf numFmtId="0" fontId="38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2" fillId="0" borderId="0" xfId="0" applyFont="1" applyAlignment="1">
      <alignment horizontal="center"/>
    </xf>
    <xf numFmtId="2" fontId="0" fillId="0" borderId="0" xfId="0" applyNumberFormat="1"/>
    <xf numFmtId="166" fontId="0" fillId="0" borderId="0" xfId="0" applyNumberFormat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horizontal="right" vertical="center"/>
    </xf>
    <xf numFmtId="0" fontId="0" fillId="0" borderId="14" xfId="0" applyFont="1" applyBorder="1" applyAlignment="1">
      <alignment horizontal="left" vertical="center" indent="1"/>
    </xf>
    <xf numFmtId="166" fontId="0" fillId="0" borderId="6" xfId="0" applyNumberForma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66" fontId="0" fillId="0" borderId="1" xfId="0" applyNumberFormat="1" applyBorder="1" applyAlignment="1">
      <alignment horizontal="center" vertical="center"/>
    </xf>
    <xf numFmtId="9" fontId="12" fillId="0" borderId="0" xfId="1" applyFont="1" applyFill="1" applyBorder="1" applyAlignment="1">
      <alignment horizontal="center" vertical="center"/>
    </xf>
    <xf numFmtId="2" fontId="0" fillId="2" borderId="1" xfId="0" quotePrefix="1" applyNumberFormat="1" applyFont="1" applyFill="1" applyBorder="1" applyAlignment="1">
      <alignment horizontal="center" vertical="center"/>
    </xf>
    <xf numFmtId="0" fontId="5" fillId="0" borderId="0" xfId="4" applyFont="1" applyBorder="1" applyAlignment="1">
      <alignment horizontal="right" vertical="center"/>
    </xf>
    <xf numFmtId="166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1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vertical="center"/>
    </xf>
    <xf numFmtId="0" fontId="11" fillId="15" borderId="1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0" fontId="24" fillId="0" borderId="0" xfId="1" applyNumberFormat="1" applyFont="1" applyAlignment="1">
      <alignment vertical="center"/>
    </xf>
    <xf numFmtId="10" fontId="24" fillId="0" borderId="0" xfId="1" applyNumberFormat="1" applyFont="1" applyAlignment="1">
      <alignment horizontal="center" vertical="center"/>
    </xf>
    <xf numFmtId="166" fontId="12" fillId="6" borderId="1" xfId="0" applyNumberFormat="1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9" fontId="12" fillId="0" borderId="0" xfId="1" applyFont="1" applyFill="1" applyBorder="1" applyAlignment="1">
      <alignment horizontal="left" vertical="center" indent="1"/>
    </xf>
    <xf numFmtId="0" fontId="0" fillId="0" borderId="1" xfId="0" applyBorder="1" applyAlignment="1">
      <alignment vertical="center"/>
    </xf>
    <xf numFmtId="0" fontId="5" fillId="0" borderId="1" xfId="1" applyNumberFormat="1" applyFont="1" applyFill="1" applyBorder="1" applyAlignment="1">
      <alignment horizontal="center" vertical="center"/>
    </xf>
    <xf numFmtId="0" fontId="30" fillId="17" borderId="0" xfId="2" applyFont="1" applyFill="1" applyAlignment="1">
      <alignment horizontal="center" vertical="center"/>
    </xf>
    <xf numFmtId="0" fontId="30" fillId="17" borderId="0" xfId="2" applyFont="1" applyFill="1" applyAlignment="1">
      <alignment vertical="center"/>
    </xf>
    <xf numFmtId="0" fontId="49" fillId="17" borderId="0" xfId="2" applyFont="1" applyFill="1" applyAlignment="1">
      <alignment vertical="center"/>
    </xf>
    <xf numFmtId="0" fontId="49" fillId="17" borderId="0" xfId="2" applyFont="1" applyFill="1" applyAlignment="1">
      <alignment horizontal="right" vertical="center"/>
    </xf>
    <xf numFmtId="0" fontId="49" fillId="17" borderId="0" xfId="2" applyFont="1" applyFill="1" applyAlignment="1">
      <alignment horizontal="center" vertical="center"/>
    </xf>
    <xf numFmtId="0" fontId="49" fillId="17" borderId="0" xfId="2" applyFont="1" applyFill="1" applyAlignment="1">
      <alignment horizontal="left" vertical="center" indent="1"/>
    </xf>
    <xf numFmtId="165" fontId="16" fillId="0" borderId="1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quotePrefix="1" applyNumberFormat="1" applyFont="1" applyFill="1" applyBorder="1" applyAlignment="1">
      <alignment horizontal="center" vertical="center"/>
    </xf>
    <xf numFmtId="169" fontId="13" fillId="0" borderId="1" xfId="4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0" fillId="0" borderId="0" xfId="0" applyNumberForma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66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17" fillId="3" borderId="5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/>
    </xf>
    <xf numFmtId="2" fontId="0" fillId="2" borderId="1" xfId="0" quotePrefix="1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/>
    </xf>
    <xf numFmtId="0" fontId="12" fillId="0" borderId="0" xfId="4" applyFont="1" applyBorder="1" applyAlignment="1">
      <alignment vertical="center"/>
    </xf>
    <xf numFmtId="20" fontId="12" fillId="0" borderId="0" xfId="0" quotePrefix="1" applyNumberFormat="1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  <xf numFmtId="0" fontId="30" fillId="17" borderId="0" xfId="2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indent="1"/>
    </xf>
    <xf numFmtId="0" fontId="5" fillId="0" borderId="15" xfId="0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166" fontId="16" fillId="0" borderId="34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166" fontId="16" fillId="0" borderId="36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66" fontId="16" fillId="0" borderId="3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2" fontId="17" fillId="3" borderId="6" xfId="0" applyNumberFormat="1" applyFont="1" applyFill="1" applyBorder="1" applyAlignment="1">
      <alignment horizontal="center" vertical="center"/>
    </xf>
    <xf numFmtId="2" fontId="17" fillId="3" borderId="6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5" borderId="38" xfId="0" applyFill="1" applyBorder="1" applyAlignment="1">
      <alignment vertical="center"/>
    </xf>
    <xf numFmtId="0" fontId="0" fillId="13" borderId="27" xfId="0" applyFill="1" applyBorder="1" applyAlignment="1">
      <alignment vertical="center"/>
    </xf>
    <xf numFmtId="0" fontId="0" fillId="0" borderId="0" xfId="0" quotePrefix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6" fillId="0" borderId="2" xfId="0" applyFont="1" applyFill="1" applyBorder="1" applyAlignment="1">
      <alignment horizontal="left" vertical="center" indent="1"/>
    </xf>
    <xf numFmtId="166" fontId="0" fillId="0" borderId="13" xfId="0" applyNumberForma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30" fillId="11" borderId="0" xfId="2" applyFont="1" applyFill="1" applyAlignment="1">
      <alignment horizontal="center" vertical="center"/>
    </xf>
    <xf numFmtId="0" fontId="30" fillId="11" borderId="0" xfId="2" applyFont="1" applyFill="1" applyAlignment="1">
      <alignment vertical="center"/>
    </xf>
    <xf numFmtId="0" fontId="49" fillId="11" borderId="0" xfId="2" applyFont="1" applyFill="1" applyAlignment="1">
      <alignment vertical="center"/>
    </xf>
    <xf numFmtId="0" fontId="49" fillId="11" borderId="0" xfId="2" applyFont="1" applyFill="1" applyAlignment="1">
      <alignment horizontal="right" vertical="center"/>
    </xf>
    <xf numFmtId="0" fontId="49" fillId="11" borderId="0" xfId="2" applyFont="1" applyFill="1" applyAlignment="1">
      <alignment horizontal="center" vertical="center"/>
    </xf>
    <xf numFmtId="0" fontId="49" fillId="11" borderId="0" xfId="2" applyFont="1" applyFill="1" applyAlignment="1">
      <alignment horizontal="left" vertical="center"/>
    </xf>
    <xf numFmtId="0" fontId="41" fillId="6" borderId="1" xfId="0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0" fontId="41" fillId="6" borderId="6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1" fillId="0" borderId="0" xfId="0" applyFont="1" applyBorder="1" applyAlignment="1">
      <alignment vertical="center"/>
    </xf>
    <xf numFmtId="0" fontId="34" fillId="2" borderId="0" xfId="2" applyFont="1" applyFill="1" applyAlignment="1">
      <alignment horizontal="center" vertical="center"/>
    </xf>
    <xf numFmtId="0" fontId="34" fillId="2" borderId="0" xfId="2" applyFont="1" applyFill="1" applyAlignment="1">
      <alignment vertical="center"/>
    </xf>
    <xf numFmtId="0" fontId="16" fillId="2" borderId="0" xfId="2" applyFont="1" applyFill="1" applyAlignment="1">
      <alignment vertical="center"/>
    </xf>
    <xf numFmtId="0" fontId="16" fillId="2" borderId="0" xfId="2" applyFont="1" applyFill="1" applyAlignment="1">
      <alignment horizontal="right" vertical="center"/>
    </xf>
    <xf numFmtId="0" fontId="16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horizontal="left" vertical="center"/>
    </xf>
    <xf numFmtId="0" fontId="41" fillId="15" borderId="1" xfId="0" applyFont="1" applyFill="1" applyBorder="1" applyAlignment="1">
      <alignment horizontal="center" vertical="center"/>
    </xf>
    <xf numFmtId="0" fontId="41" fillId="15" borderId="2" xfId="0" applyFont="1" applyFill="1" applyBorder="1" applyAlignment="1">
      <alignment horizontal="center" vertical="center"/>
    </xf>
    <xf numFmtId="0" fontId="41" fillId="15" borderId="6" xfId="0" applyFont="1" applyFill="1" applyBorder="1" applyAlignment="1">
      <alignment horizontal="center" vertical="center"/>
    </xf>
    <xf numFmtId="0" fontId="41" fillId="15" borderId="3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46" fillId="15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4" fillId="9" borderId="0" xfId="2" applyFont="1" applyFill="1" applyAlignment="1">
      <alignment horizontal="center" vertical="center"/>
    </xf>
    <xf numFmtId="0" fontId="43" fillId="7" borderId="16" xfId="0" applyFont="1" applyFill="1" applyBorder="1" applyAlignment="1">
      <alignment horizontal="center" vertical="center" wrapText="1"/>
    </xf>
    <xf numFmtId="0" fontId="43" fillId="7" borderId="15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1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left" vertical="center" indent="1"/>
    </xf>
    <xf numFmtId="0" fontId="34" fillId="6" borderId="3" xfId="0" applyFont="1" applyFill="1" applyBorder="1" applyAlignment="1">
      <alignment horizontal="left" vertical="center" indent="1"/>
    </xf>
    <xf numFmtId="0" fontId="25" fillId="0" borderId="0" xfId="0" quotePrefix="1" applyFont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 inden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5" borderId="16" xfId="0" applyFont="1" applyFill="1" applyBorder="1" applyAlignment="1">
      <alignment horizontal="center" vertical="center"/>
    </xf>
    <xf numFmtId="0" fontId="36" fillId="5" borderId="15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8" fillId="16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2" fontId="0" fillId="2" borderId="1" xfId="0" quotePrefix="1" applyNumberFormat="1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0" fontId="46" fillId="15" borderId="1" xfId="0" applyFont="1" applyFill="1" applyBorder="1" applyAlignment="1">
      <alignment horizontal="center" vertical="center" wrapText="1"/>
    </xf>
    <xf numFmtId="0" fontId="46" fillId="15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41" fillId="15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36" fillId="5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20" fontId="0" fillId="0" borderId="2" xfId="0" quotePrefix="1" applyNumberForma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48" fillId="0" borderId="2" xfId="5" applyBorder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</cellXfs>
  <cellStyles count="6">
    <cellStyle name="Comma" xfId="3" builtinId="3"/>
    <cellStyle name="Hyperlink" xfId="5" builtinId="8"/>
    <cellStyle name="Normal" xfId="0" builtinId="0"/>
    <cellStyle name="Normal 2" xfId="2" xr:uid="{29592C2A-6A48-49DF-A5A7-36DBDFE63ADA}"/>
    <cellStyle name="Normal 3" xfId="4" xr:uid="{C9840697-FB22-4B78-B686-9AA0131E1CDA}"/>
    <cellStyle name="Percent" xfId="1" builtinId="5"/>
  </cellStyles>
  <dxfs count="72"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5" tint="0.3999450666829432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ont>
        <b/>
        <i/>
      </font>
      <fill>
        <patternFill>
          <bgColor theme="8" tint="0.39994506668294322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 val="0"/>
        <i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5" tint="0.39994506668294322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ont>
        <b/>
        <i/>
      </font>
      <fill>
        <patternFill>
          <bgColor theme="8" tint="0.39994506668294322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 val="0"/>
        <i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/>
      </font>
      <fill>
        <patternFill>
          <bgColor theme="9" tint="0.39994506668294322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91-458F-A220-AE078751B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A8-4E54-A12B-32BE3A80F40E}"/>
            </c:ext>
          </c:extLst>
        </c:ser>
        <c:ser>
          <c:idx val="1"/>
          <c:order val="1"/>
          <c:tx>
            <c:v>P/A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2A8-4E54-A12B-32BE3A80F40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2A8-4E54-A12B-32BE3A80F40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8-4E54-A12B-32BE3A80F40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2A8-4E54-A12B-32BE3A80F40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46061E-9BDB-42A3-BE03-D3E669857DC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{1B46061E-9BDB-42A3-BE03-D3E669857DC6}</c15:txfldGUID>
                      <c15:f>Tabel!$A$63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2A8-4E54-A12B-32BE3A80F40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A80A964-9A10-48DE-9C0C-47B3C7F9A1C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{0A80A964-9A10-48DE-9C0C-47B3C7F9A1CA}</c15:txfldGUID>
                      <c15:f>Tabel!$A$64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2A8-4E54-A12B-32BE3A80F40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8-4E54-A12B-32BE3A80F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Tabel!$G$62:$G$66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Tabel!$H$62:$H$66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A8-4E54-A12B-32BE3A80F40E}"/>
            </c:ext>
          </c:extLst>
        </c:ser>
        <c:ser>
          <c:idx val="2"/>
          <c:order val="2"/>
          <c:tx>
            <c:v>P*es/W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2A8-4E54-A12B-32BE3A80F40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2A8-4E54-A12B-32BE3A80F40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2A8-4E54-A12B-32BE3A80F40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2A8-4E54-A12B-32BE3A80F40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C10515-11B0-4B69-9B49-543E9BF2DDA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{E0C10515-11B0-4B69-9B49-543E9BF2DDA2}</c15:txfldGUID>
                      <c15:f>Tabel!$B$63</c15:f>
                      <c15:dlblFieldTableCache>
                        <c:ptCount val="1"/>
                        <c:pt idx="0">
                          <c:v>21,14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2A8-4E54-A12B-32BE3A80F40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7173215-04FB-4E2D-B1A8-0E3AB00EA84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{F7173215-04FB-4E2D-B1A8-0E3AB00EA842}</c15:txfldGUID>
                      <c15:f>Tabel!$B$64</c15:f>
                      <c15:dlblFieldTableCache>
                        <c:ptCount val="1"/>
                        <c:pt idx="0">
                          <c:v>-19,66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2A8-4E54-A12B-32BE3A80F40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2A8-4E54-A12B-32BE3A80F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Tabel!$I$62:$I$66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191.13822734316091</c:v>
                </c:pt>
                <c:pt idx="3" formatCode="0.00">
                  <c:v>150.3401975548926</c:v>
                </c:pt>
                <c:pt idx="4">
                  <c:v>170</c:v>
                </c:pt>
              </c:numCache>
            </c:numRef>
          </c:xVal>
          <c:yVal>
            <c:numRef>
              <c:f>Tabel!$J$62:$J$66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A8-4E54-A12B-32BE3A80F40E}"/>
            </c:ext>
          </c:extLst>
        </c:ser>
        <c:ser>
          <c:idx val="3"/>
          <c:order val="3"/>
          <c:tx>
            <c:v>M/W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2A8-4E54-A12B-32BE3A80F40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42A8-4E54-A12B-32BE3A80F40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2A8-4E54-A12B-32BE3A80F40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2A8-4E54-A12B-32BE3A80F40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A859307-2CAF-400F-9D20-CFECA068226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{4A859307-2CAF-400F-9D20-CFECA068226A}</c15:txfldGUID>
                      <c15:f>Tabel!$C$63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2A8-4E54-A12B-32BE3A80F40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1FC9EA-A855-478D-AD4A-5B39F8CFC3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{1C1FC9EA-A855-478D-AD4A-5B39F8CFC3A6}</c15:txfldGUID>
                      <c15:f>Tabel!$C$64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42A8-4E54-A12B-32BE3A80F40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2A8-4E54-A12B-32BE3A80F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Tabel!$K$62:$K$66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Tabel!$L$62:$L$66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A8-4E54-A12B-32BE3A80F40E}"/>
            </c:ext>
          </c:extLst>
        </c:ser>
        <c:ser>
          <c:idx val="4"/>
          <c:order val="4"/>
          <c:tx>
            <c:v>Result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42A8-4E54-A12B-32BE3A80F40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42A8-4E54-A12B-32BE3A80F40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2A8-4E54-A12B-32BE3A80F40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2A8-4E54-A12B-32BE3A80F40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E8DB934-8302-4AB7-9627-258AB8BA584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{FE8DB934-8302-4AB7-9627-258AB8BA584F}</c15:txfldGUID>
                      <c15:f>Tabel!$D$63</c15:f>
                      <c15:dlblFieldTableCache>
                        <c:ptCount val="1"/>
                        <c:pt idx="0">
                          <c:v>-1,52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42A8-4E54-A12B-32BE3A80F40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610926-983B-4300-8939-114DD744209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{88610926-983B-4300-8939-114DD7442093}</c15:txfldGUID>
                      <c15:f>Tabel!$D$64</c15:f>
                      <c15:dlblFieldTableCache>
                        <c:ptCount val="1"/>
                        <c:pt idx="0">
                          <c:v>-24,00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42A8-4E54-A12B-32BE3A80F40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2A8-4E54-A12B-32BE3A80F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Tabel!$M$62:$M$66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358.48063044996701</c:v>
                </c:pt>
                <c:pt idx="3" formatCode="0.00">
                  <c:v>336</c:v>
                </c:pt>
                <c:pt idx="4">
                  <c:v>360</c:v>
                </c:pt>
              </c:numCache>
            </c:numRef>
          </c:xVal>
          <c:yVal>
            <c:numRef>
              <c:f>Tabel!$N$62:$N$66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A8-4E54-A12B-32BE3A80F40E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2A8-4E54-A12B-32BE3A80F40E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2A8-4E54-A12B-32BE3A80F40E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2A8-4E54-A12B-32BE3A80F40E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2A8-4E54-A12B-32BE3A80F40E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2A8-4E54-A12B-32BE3A80F40E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2A8-4E54-A12B-32BE3A80F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D-4257-9805-1DFB318B90A4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D8C-4163-9B6E-43201B01DD73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D8C-4163-9B6E-43201B01DD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8C-4163-9B6E-43201B01DD7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8C-4163-9B6E-43201B01DD7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DC22B2-4AB9-4836-957C-20DF5DD59B8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{D5DC22B2-4AB9-4836-957C-20DF5DD59B80}</c15:txfldGUID>
                      <c15:f>Tabel!$R$63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D8C-4163-9B6E-43201B01DD7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0C2C95E-AF3F-4EE5-AD68-9FB191BC3A7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{50C2C95E-AF3F-4EE5-AD68-9FB191BC3A7D}</c15:txfldGUID>
                      <c15:f>Tabel!$R$64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D8C-4163-9B6E-43201B01DD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8C-4163-9B6E-43201B01DD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Tabel!$X$62:$X$66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Tabel!$Y$62:$Y$66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94D-4257-9805-1DFB318B90A4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D8C-4163-9B6E-43201B01DD73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D8C-4163-9B6E-43201B01DD7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9BBB4F-EF40-4EB6-AEBA-469844057A0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{9E9BBB4F-EF40-4EB6-AEBA-469844057A0A}</c15:txfldGUID>
                      <c15:f>Tabel!$S$64</c15:f>
                      <c15:dlblFieldTableCache>
                        <c:ptCount val="1"/>
                        <c:pt idx="0">
                          <c:v>0,79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D8C-4163-9B6E-43201B01DD7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6E7E21-3C2F-4EE5-B68B-82D8B02137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{706E7E21-3C2F-4EE5-B68B-82D8B02137D2}</c15:txfldGUID>
                      <c15:f>Tabel!$S$63</c15:f>
                      <c15:dlblFieldTableCache>
                        <c:ptCount val="1"/>
                        <c:pt idx="0">
                          <c:v>-0,85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8C-4163-9B6E-43201B01DD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8C-4163-9B6E-43201B01DD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8C-4163-9B6E-43201B01DD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8C-4163-9B6E-43201B01DD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Tabel!$Z$62:$Z$66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169.1460156153363</c:v>
                </c:pt>
                <c:pt idx="3" formatCode="0.00">
                  <c:v>170.79425601878233</c:v>
                </c:pt>
                <c:pt idx="4">
                  <c:v>170</c:v>
                </c:pt>
              </c:numCache>
            </c:numRef>
          </c:xVal>
          <c:yVal>
            <c:numRef>
              <c:f>Tabel!$AA$62:$AA$66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94D-4257-9805-1DFB318B90A4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535345B-9B82-4FCD-ACAD-F98BEDEE021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{7535345B-9B82-4FCD-ACAD-F98BEDEE0213}</c15:txfldGUID>
                      <c15:f>Tabel!$T$64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D8C-4163-9B6E-43201B01DD7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856669-D4E9-4A58-9EE7-996F0154CB3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{C9856669-D4E9-4A58-9EE7-996F0154CB33}</c15:txfldGUID>
                      <c15:f>Tabel!$T$63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D8C-4163-9B6E-43201B01DD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8C-4163-9B6E-43201B01DD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8C-4163-9B6E-43201B01DD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8C-4163-9B6E-43201B01DD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Tabel!$AB$62:$AB$66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Tabel!$AC$62:$AC$66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94D-4257-9805-1DFB318B90A4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D8C-4163-9B6E-43201B01DD73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D8C-4163-9B6E-43201B01DD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8C-4163-9B6E-43201B01DD7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8C-4163-9B6E-43201B01DD7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6190DF-D449-4B0A-9FFB-F2C360024C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{EF6190DF-D449-4B0A-9FFB-F2C360024C07}</c15:txfldGUID>
                      <c15:f>Tabel!$U$63</c15:f>
                      <c15:dlblFieldTableCache>
                        <c:ptCount val="1"/>
                        <c:pt idx="0">
                          <c:v>-14,02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D8C-4163-9B6E-43201B01DD7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8F0D99-4481-486E-AC2D-BCEBDA79149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{248F0D99-4481-486E-AC2D-BCEBDA791495}</c15:txfldGUID>
                      <c15:f>Tabel!$U$64</c15:f>
                      <c15:dlblFieldTableCache>
                        <c:ptCount val="1"/>
                        <c:pt idx="0">
                          <c:v>-12,37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D8C-4163-9B6E-43201B01DD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8C-4163-9B6E-43201B01DD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Tabel!$AD$62:$AD$66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345.97900818339667</c:v>
                </c:pt>
                <c:pt idx="3" formatCode="0.00">
                  <c:v>347.62724858684271</c:v>
                </c:pt>
                <c:pt idx="4">
                  <c:v>360</c:v>
                </c:pt>
              </c:numCache>
            </c:numRef>
          </c:xVal>
          <c:yVal>
            <c:numRef>
              <c:f>Tabel!$AE$62:$AE$66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894D-4257-9805-1DFB318B90A4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94D-4257-9805-1DFB318B90A4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894D-4257-9805-1DFB318B90A4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94D-4257-9805-1DFB318B90A4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94D-4257-9805-1DFB318B90A4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894D-4257-9805-1DFB318B90A4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894D-4257-9805-1DFB318B90A4}"/>
            </c:ext>
          </c:extLst>
        </c:ser>
        <c:ser>
          <c:idx val="11"/>
          <c:order val="1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894D-4257-9805-1DFB318B90A4}"/>
            </c:ext>
          </c:extLst>
        </c:ser>
        <c:ser>
          <c:idx val="12"/>
          <c:order val="12"/>
          <c:tx>
            <c:strRef>
              <c:f>Tabel!$N$23</c:f>
              <c:strCache>
                <c:ptCount val="1"/>
                <c:pt idx="0">
                  <c:v>15,238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894D-4257-9805-1DFB318B9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77-48E7-88F9-A2B0802EF2D5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77-48E7-88F9-A2B0802EF2D5}"/>
            </c:ext>
          </c:extLst>
        </c:ser>
        <c:ser>
          <c:idx val="1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77-48E7-88F9-A2B0802EF2D5}"/>
            </c:ext>
          </c:extLst>
        </c:ser>
        <c:ser>
          <c:idx val="2"/>
          <c:order val="3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77-48E7-88F9-A2B0802EF2D5}"/>
            </c:ext>
          </c:extLst>
        </c:ser>
        <c:ser>
          <c:idx val="3"/>
          <c:order val="4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E77-48E7-88F9-A2B0802EF2D5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77-48E7-88F9-A2B0802EF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265"/>
          <c:min val="-55"/>
        </c:scaling>
        <c:delete val="1"/>
        <c:axPos val="b"/>
        <c:numFmt formatCode="0.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numFmt formatCode="General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CC-4FD3-9737-9BBFBD873C07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397-4A00-822A-C1143A516ED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397-4A00-822A-C1143A516ED5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EA23551-C686-4637-8AE4-521ECC7FADE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{3EA23551-C686-4637-8AE4-521ECC7FADED}</c15:txfldGUID>
                      <c15:f>Tabel!$A$83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397-4A00-822A-C1143A516E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F0A407-2392-40E0-9887-D3FAC5BD22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{D8F0A407-2392-40E0-9887-D3FAC5BD2207}</c15:txfldGUID>
                      <c15:f>Tabel!$A$84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397-4A00-822A-C1143A516E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Tabel!$G$82:$G$86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Tabel!$H$82:$H$86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CC-4FD3-9737-9BBFBD873C07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397-4A00-822A-C1143A516ED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397-4A00-822A-C1143A516ED5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53A3599-974F-4A28-A774-50D9E33D2D8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{353A3599-974F-4A28-A774-50D9E33D2D8E}</c15:txfldGUID>
                      <c15:f>Tabel!$B$83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397-4A00-822A-C1143A516E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D9B0565-3A6B-4926-B629-8805F03BC56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{8D9B0565-3A6B-4926-B629-8805F03BC562}</c15:txfldGUID>
                      <c15:f>Tabel!$B$84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397-4A00-822A-C1143A516E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Tabel!$I$82:$I$86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Tabel!$J$82:$J$86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CC-4FD3-9737-9BBFBD873C07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397-4A00-822A-C1143A516ED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397-4A00-822A-C1143A516ED5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235C003-D280-4F51-93F1-7B79E8CEDC1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{6235C003-D280-4F51-93F1-7B79E8CEDC19}</c15:txfldGUID>
                      <c15:f>Tabel!$C$83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397-4A00-822A-C1143A516E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3E9DEF-4395-48EB-A62A-679DC5200FB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{833E9DEF-4395-48EB-A62A-679DC5200FB5}</c15:txfldGUID>
                      <c15:f>Tabel!$C$84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397-4A00-822A-C1143A516E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Tabel!$K$82:$K$86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Tabel!$L$82:$L$86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CC-4FD3-9737-9BBFBD873C07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397-4A00-822A-C1143A516ED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397-4A00-822A-C1143A516ED5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10955FD3-B98C-4577-B8BB-38E376F7CA4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{10955FD3-B98C-4577-B8BB-38E376F7CA4A}</c15:txfldGUID>
                      <c15:f>Tabel!$D$83</c15:f>
                      <c15:dlblFieldTableCache>
                        <c:ptCount val="1"/>
                        <c:pt idx="0">
                          <c:v>-3,39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397-4A00-822A-C1143A516E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9FCE9A-8214-405E-B49C-8169F753ECF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{299FCE9A-8214-405E-B49C-8169F753ECF6}</c15:txfldGUID>
                      <c15:f>Tabel!$D$84</c15:f>
                      <c15:dlblFieldTableCache>
                        <c:ptCount val="1"/>
                        <c:pt idx="0">
                          <c:v>-16,29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397-4A00-822A-C1143A516E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Tabel!$M$82:$M$86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356.60874169175804</c:v>
                </c:pt>
                <c:pt idx="3" formatCode="0.00">
                  <c:v>343.70874935845188</c:v>
                </c:pt>
                <c:pt idx="4">
                  <c:v>360</c:v>
                </c:pt>
              </c:numCache>
            </c:numRef>
          </c:xVal>
          <c:yVal>
            <c:numRef>
              <c:f>Tabel!$N$82:$N$86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FCC-4FD3-9737-9BBFBD873C07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FCC-4FD3-9737-9BBFBD873C07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FCC-4FD3-9737-9BBFBD873C07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FCC-4FD3-9737-9BBFBD873C07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FCC-4FD3-9737-9BBFBD873C07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FCC-4FD3-9737-9BBFBD873C07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FCC-4FD3-9737-9BBFBD873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BB-48FF-8051-D17AE1155080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BB-48FF-8051-D17AE1155080}"/>
            </c:ext>
          </c:extLst>
        </c:ser>
        <c:ser>
          <c:idx val="1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BB-48FF-8051-D17AE1155080}"/>
            </c:ext>
          </c:extLst>
        </c:ser>
        <c:ser>
          <c:idx val="2"/>
          <c:order val="3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BB-48FF-8051-D17AE1155080}"/>
            </c:ext>
          </c:extLst>
        </c:ser>
        <c:ser>
          <c:idx val="3"/>
          <c:order val="4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BB-48FF-8051-D17AE1155080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BB-48FF-8051-D17AE1155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265"/>
          <c:min val="-55"/>
        </c:scaling>
        <c:delete val="1"/>
        <c:axPos val="b"/>
        <c:numFmt formatCode="0.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numFmt formatCode="General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EB-4A63-93FB-17D6C055CCB7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DDF8583B-46DD-4EA7-BA8B-3E7A451A632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{DDF8583B-46DD-4EA7-BA8B-3E7A451A6328}</c15:txfldGUID>
                      <c15:f>Tabel!$R$83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BF4-48F6-B23C-9C09FD473E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5C69B5B-85A5-4BD9-B87E-6CAC8344B46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{35C69B5B-85A5-4BD9-B87E-6CAC8344B464}</c15:txfldGUID>
                      <c15:f>Tabel!$R$84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BF4-48F6-B23C-9C09FD473E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Tabel!$X$82:$X$86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Tabel!$Y$82:$Y$86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EB-4A63-93FB-17D6C055CCB7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7190E5A9-561D-43B8-B8A3-5FCC44E3F6D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{7190E5A9-561D-43B8-B8A3-5FCC44E3F6D0}</c15:txfldGUID>
                      <c15:f>Tabel!$S$83</c15:f>
                      <c15:dlblFieldTableCache>
                        <c:ptCount val="1"/>
                        <c:pt idx="0">
                          <c:v>-0,65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BF4-48F6-B23C-9C09FD473E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848AA7-17D7-4F23-8C1D-B9D94F40550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{E1848AA7-17D7-4F23-8C1D-B9D94F40550F}</c15:txfldGUID>
                      <c15:f>Tabel!$S$84</c15:f>
                      <c15:dlblFieldTableCache>
                        <c:ptCount val="1"/>
                        <c:pt idx="0">
                          <c:v>0,61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BF4-48F6-B23C-9C09FD473E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Tabel!$Z$82:$Z$86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169.34655753829688</c:v>
                </c:pt>
                <c:pt idx="3" formatCode="0.00">
                  <c:v>170.60774016182981</c:v>
                </c:pt>
                <c:pt idx="4">
                  <c:v>170</c:v>
                </c:pt>
              </c:numCache>
            </c:numRef>
          </c:xVal>
          <c:yVal>
            <c:numRef>
              <c:f>Tabel!$AA$82:$AA$86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EB-4A63-93FB-17D6C055CCB7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690759D-66E3-45B1-A2B6-5B13DC45A96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{8690759D-66E3-45B1-A2B6-5B13DC45A966}</c15:txfldGUID>
                      <c15:f>Tabel!$T$84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BF4-48F6-B23C-9C09FD473E7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F96C33-8F14-4D01-A8A5-1720E6DC506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{ADF96C33-8F14-4D01-A8A5-1720E6DC5067}</c15:txfldGUID>
                      <c15:f>Tabel!$T$83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BF4-48F6-B23C-9C09FD473E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Tabel!$AB$82:$AB$86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Tabel!$AC$82:$AC$86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EB-4A63-93FB-17D6C055CCB7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9D1A83D3-BF12-4EA2-9CBA-8AD6DCC915A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{9D1A83D3-BF12-4EA2-9CBA-8AD6DCC915A4}</c15:txfldGUID>
                      <c15:f>Tabel!$U$83</c15:f>
                      <c15:dlblFieldTableCache>
                        <c:ptCount val="1"/>
                        <c:pt idx="0">
                          <c:v>-10,73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BF4-48F6-B23C-9C09FD473E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D2FD61D-9364-4421-9A16-C42D6BA6A8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{5D2FD61D-9364-4421-9A16-C42D6BA6A856}</c15:txfldGUID>
                      <c15:f>Tabel!$U$84</c15:f>
                      <c15:dlblFieldTableCache>
                        <c:ptCount val="1"/>
                        <c:pt idx="0">
                          <c:v>-9,47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BF4-48F6-B23C-9C09FD473E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Tabel!$AD$82:$AD$86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349.27157033232101</c:v>
                </c:pt>
                <c:pt idx="3" formatCode="0.00">
                  <c:v>350.53275295585394</c:v>
                </c:pt>
                <c:pt idx="4">
                  <c:v>360</c:v>
                </c:pt>
              </c:numCache>
            </c:numRef>
          </c:xVal>
          <c:yVal>
            <c:numRef>
              <c:f>Tabel!$AE$82:$AE$86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EB-4A63-93FB-17D6C055CCB7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EB-4A63-93FB-17D6C055CCB7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EB-4A63-93FB-17D6C055CCB7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EB-4A63-93FB-17D6C055CCB7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BEB-4A63-93FB-17D6C055CCB7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BEB-4A63-93FB-17D6C055CCB7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BEB-4A63-93FB-17D6C055CCB7}"/>
            </c:ext>
          </c:extLst>
        </c:ser>
        <c:ser>
          <c:idx val="11"/>
          <c:order val="11"/>
          <c:tx>
            <c:strRef>
              <c:f>Tabel!$K$19</c:f>
              <c:strCache>
                <c:ptCount val="1"/>
                <c:pt idx="0">
                  <c:v>B'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F4-48F6-B23C-9C09FD473E75}"/>
            </c:ext>
          </c:extLst>
        </c:ser>
        <c:ser>
          <c:idx val="12"/>
          <c:order val="12"/>
          <c:tx>
            <c:strRef>
              <c:f>Tabel!$K$23</c:f>
              <c:strCache>
                <c:ptCount val="1"/>
                <c:pt idx="0">
                  <c:v>M'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F4-48F6-B23C-9C09FD47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91-466F-919C-6E4680B763D0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91-466F-919C-6E4680B763D0}"/>
            </c:ext>
          </c:extLst>
        </c:ser>
        <c:ser>
          <c:idx val="1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91-466F-919C-6E4680B763D0}"/>
            </c:ext>
          </c:extLst>
        </c:ser>
        <c:ser>
          <c:idx val="2"/>
          <c:order val="3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91-466F-919C-6E4680B763D0}"/>
            </c:ext>
          </c:extLst>
        </c:ser>
        <c:ser>
          <c:idx val="3"/>
          <c:order val="4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91-466F-919C-6E4680B763D0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91-466F-919C-6E4680B7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265"/>
          <c:min val="-55"/>
        </c:scaling>
        <c:delete val="1"/>
        <c:axPos val="b"/>
        <c:numFmt formatCode="0.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numFmt formatCode="General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6D-4779-AB78-DAB9E1A4748F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76D-4779-AB78-DAB9E1A4748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76D-4779-AB78-DAB9E1A4748F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D8F0948-AF58-4F5F-996A-647FF6B7A3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{3D8F0948-AF58-4F5F-996A-647FF6B7A3D2}</c15:txfldGUID>
                      <c15:f>Tabel!$A$103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76D-4779-AB78-DAB9E1A474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FB30D5-0341-4960-A1EE-A7A576215BD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{02FB30D5-0341-4960-A1EE-A7A576215BD6}</c15:txfldGUID>
                      <c15:f>Tabel!$A$104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76D-4779-AB78-DAB9E1A47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Tabel!$G$102:$G$106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Tabel!$H$102:$H$106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6D-4779-AB78-DAB9E1A4748F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76D-4779-AB78-DAB9E1A4748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76D-4779-AB78-DAB9E1A4748F}"/>
              </c:ext>
            </c:extLst>
          </c:dPt>
          <c:dLbls>
            <c:dLbl>
              <c:idx val="2"/>
              <c:layout>
                <c:manualLayout>
                  <c:x val="-1.0733923118740517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150975A-D06E-4780-A19F-B99030B26E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{6150975A-D06E-4780-A19F-B99030B26E81}</c15:txfldGUID>
                      <c15:f>Tabel!$B$103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76D-4779-AB78-DAB9E1A474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C4FF18A-A6BD-4258-B935-3F6F6048B1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{6C4FF18A-A6BD-4258-B935-3F6F6048B1A6}</c15:txfldGUID>
                      <c15:f>Tabel!$B$104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76D-4779-AB78-DAB9E1A47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Tabel!$I$102:$I$106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Tabel!$J$102:$J$106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6D-4779-AB78-DAB9E1A4748F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76D-4779-AB78-DAB9E1A4748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76D-4779-AB78-DAB9E1A4748F}"/>
              </c:ext>
            </c:extLst>
          </c:dPt>
          <c:dLbls>
            <c:dLbl>
              <c:idx val="2"/>
              <c:layout>
                <c:manualLayout>
                  <c:x val="-7.3505905517134984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CACB450-20F2-477E-AB63-301617E6825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{6CACB450-20F2-477E-AB63-301617E68250}</c15:txfldGUID>
                      <c15:f>Tabel!$C$103</c15:f>
                      <c15:dlblFieldTableCache>
                        <c:ptCount val="1"/>
                        <c:pt idx="0">
                          <c:v>-16,87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76D-4779-AB78-DAB9E1A474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E9D178-09C9-413D-A6FB-DAE72AD44DAC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{85E9D178-09C9-413D-A6FB-DAE72AD44DAC}</c15:txfldGUID>
                      <c15:f>Tabel!$C$104</c15:f>
                      <c15:dlblFieldTableCache>
                        <c:ptCount val="1"/>
                        <c:pt idx="0">
                          <c:v>15,69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76D-4779-AB78-DAB9E1A47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Tabel!$K$102:$K$106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243.134429016681</c:v>
                </c:pt>
                <c:pt idx="3" formatCode="0.00">
                  <c:v>275.6859791633978</c:v>
                </c:pt>
                <c:pt idx="4">
                  <c:v>260</c:v>
                </c:pt>
              </c:numCache>
            </c:numRef>
          </c:xVal>
          <c:yVal>
            <c:numRef>
              <c:f>Tabel!$L$102:$L$106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6D-4779-AB78-DAB9E1A4748F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76D-4779-AB78-DAB9E1A4748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76D-4779-AB78-DAB9E1A4748F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49672A6A-6648-4830-8FF5-F48DBD57C65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{49672A6A-6648-4830-8FF5-F48DBD57C65A}</c15:txfldGUID>
                      <c15:f>Tabel!$D$103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76D-4779-AB78-DAB9E1A474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C5637A-3589-4567-B548-5EBC50224E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{CAC5637A-3589-4567-B548-5EBC50224E56}</c15:txfldGUID>
                      <c15:f>Tabel!$D$104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76D-4779-AB78-DAB9E1A47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Tabel!$M$102:$M$106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349.23376016969337</c:v>
                </c:pt>
                <c:pt idx="3" formatCode="0.00">
                  <c:v>350.56791864480266</c:v>
                </c:pt>
                <c:pt idx="4">
                  <c:v>360</c:v>
                </c:pt>
              </c:numCache>
            </c:numRef>
          </c:xVal>
          <c:yVal>
            <c:numRef>
              <c:f>Tabel!$N$102:$N$106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6D-4779-AB78-DAB9E1A4748F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6D-4779-AB78-DAB9E1A4748F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76D-4779-AB78-DAB9E1A4748F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6D-4779-AB78-DAB9E1A4748F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76D-4779-AB78-DAB9E1A4748F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76D-4779-AB78-DAB9E1A4748F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76D-4779-AB78-DAB9E1A4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B0-40F3-A3C6-97C3D69366A6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B0-40F3-A3C6-97C3D69366A6}"/>
            </c:ext>
          </c:extLst>
        </c:ser>
        <c:ser>
          <c:idx val="1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B0-40F3-A3C6-97C3D69366A6}"/>
            </c:ext>
          </c:extLst>
        </c:ser>
        <c:ser>
          <c:idx val="2"/>
          <c:order val="3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B0-40F3-A3C6-97C3D69366A6}"/>
            </c:ext>
          </c:extLst>
        </c:ser>
        <c:ser>
          <c:idx val="3"/>
          <c:order val="4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4B0-40F3-A3C6-97C3D69366A6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4B0-40F3-A3C6-97C3D6936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265"/>
          <c:min val="-55"/>
        </c:scaling>
        <c:delete val="1"/>
        <c:axPos val="b"/>
        <c:numFmt formatCode="0.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numFmt formatCode="General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45-4F73-A86F-556F29985173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45-4F73-A86F-556F29985173}"/>
            </c:ext>
          </c:extLst>
        </c:ser>
        <c:ser>
          <c:idx val="1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45-4F73-A86F-556F29985173}"/>
            </c:ext>
          </c:extLst>
        </c:ser>
        <c:ser>
          <c:idx val="2"/>
          <c:order val="3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D45-4F73-A86F-556F29985173}"/>
            </c:ext>
          </c:extLst>
        </c:ser>
        <c:ser>
          <c:idx val="3"/>
          <c:order val="4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D45-4F73-A86F-556F29985173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D45-4F73-A86F-556F29985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265"/>
          <c:min val="-55"/>
        </c:scaling>
        <c:delete val="1"/>
        <c:axPos val="b"/>
        <c:numFmt formatCode="0.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numFmt formatCode="General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92-49F5-B31E-1DD7A1A95DFB}"/>
            </c:ext>
          </c:extLst>
        </c:ser>
        <c:ser>
          <c:idx val="1"/>
          <c:order val="1"/>
          <c:tx>
            <c:v>dalam kiri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92-49F5-B31E-1DD7A1A95DFB}"/>
            </c:ext>
          </c:extLst>
        </c:ser>
        <c:ser>
          <c:idx val="2"/>
          <c:order val="2"/>
          <c:tx>
            <c:v>dalam kanan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92-49F5-B31E-1DD7A1A95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E2-4855-9C27-1D7EC58E18D2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E2-4855-9C27-1D7EC58E18D2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E2-4855-9C27-1D7EC58E18D2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E10A558-4D13-4F77-B196-0E842426907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{6E10A558-4D13-4F77-B196-0E8424269070}</c15:txfldGUID>
                      <c15:f>Tabel!$A$123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73E2-4855-9C27-1D7EC58E18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B6081A1-9805-4DFC-8960-C52E30EDA9C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{BB6081A1-9805-4DFC-8960-C52E30EDA9C0}</c15:txfldGUID>
                      <c15:f>Tabel!$A$124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73E2-4855-9C27-1D7EC58E1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Tabel!$G$124:$G$128</c:f>
              <c:numCache>
                <c:formatCode>General</c:formatCode>
                <c:ptCount val="5"/>
                <c:pt idx="0">
                  <c:v>115</c:v>
                </c:pt>
                <c:pt idx="1">
                  <c:v>115</c:v>
                </c:pt>
                <c:pt idx="2" formatCode="0.00">
                  <c:v>95</c:v>
                </c:pt>
                <c:pt idx="3" formatCode="0.00">
                  <c:v>97.478411211598086</c:v>
                </c:pt>
                <c:pt idx="4">
                  <c:v>115</c:v>
                </c:pt>
              </c:numCache>
            </c:numRef>
          </c:xVal>
          <c:yVal>
            <c:numRef>
              <c:f>Tabel!$H$124:$H$128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E2-4855-9C27-1D7EC58E18D2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E2-4855-9C27-1D7EC58E18D2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E2-4855-9C27-1D7EC58E18D2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fld id="{74E94BD4-68E3-4248-91B5-1EE551E1807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{74E94BD4-68E3-4248-91B5-1EE551E18071}</c15:txfldGUID>
                      <c15:f>Tabel!$B$123</c15:f>
                      <c15:dlblFieldTableCache>
                        <c:ptCount val="1"/>
                        <c:pt idx="0">
                          <c:v>-0,91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73E2-4855-9C27-1D7EC58E18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80CCA6-3A4D-4FC0-BD25-5636FD066DB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{E980CCA6-3A4D-4FC0-BD25-5636FD066DB4}</c15:txfldGUID>
                      <c15:f>Tabel!$B$125</c15:f>
                      <c15:dlblFieldTableCache>
                        <c:ptCount val="1"/>
                        <c:pt idx="0">
                          <c:v>-0,95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73E2-4855-9C27-1D7EC58E18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ABB95EC-8FAF-40FC-BC38-03F88498D00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{EABB95EC-8FAF-40FC-BC38-03F88498D006}</c15:txfldGUID>
                      <c15:f>Tabel!$B$124</c15:f>
                      <c15:dlblFieldTableCache>
                        <c:ptCount val="1"/>
                        <c:pt idx="0">
                          <c:v>-0,68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73E2-4855-9C27-1D7EC58E18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358723A-05AA-4460-9966-7738FEDFB3B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{0358723A-05AA-4460-9966-7738FEDFB3BE}</c15:txfldGUID>
                      <c15:f>Tabel!$B$126</c15:f>
                      <c15:dlblFieldTableCache>
                        <c:ptCount val="1"/>
                        <c:pt idx="0">
                          <c:v>1,83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73E2-4855-9C27-1D7EC58E1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Tabel!$I$122:$I$128</c:f>
              <c:numCache>
                <c:formatCode>General</c:formatCode>
                <c:ptCount val="7"/>
                <c:pt idx="0">
                  <c:v>205</c:v>
                </c:pt>
                <c:pt idx="1">
                  <c:v>205</c:v>
                </c:pt>
                <c:pt idx="2" formatCode="0.00">
                  <c:v>203.30985293737845</c:v>
                </c:pt>
                <c:pt idx="3" formatCode="0.00">
                  <c:v>203.74537771973695</c:v>
                </c:pt>
                <c:pt idx="4" formatCode="0.00">
                  <c:v>203.22790720779005</c:v>
                </c:pt>
                <c:pt idx="5" formatCode="0.00">
                  <c:v>208.39523035692929</c:v>
                </c:pt>
                <c:pt idx="6">
                  <c:v>205</c:v>
                </c:pt>
              </c:numCache>
            </c:numRef>
          </c:xVal>
          <c:yVal>
            <c:numRef>
              <c:f>Tabel!$J$122:$J$128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3E2-4855-9C27-1D7EC58E18D2}"/>
            </c:ext>
          </c:extLst>
        </c:ser>
        <c:ser>
          <c:idx val="9"/>
          <c:order val="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73E2-4855-9C27-1D7EC58E18D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73E2-4855-9C27-1D7EC58E18D2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CA54684D-253D-43C0-873B-3B16E71A274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{CA54684D-253D-43C0-873B-3B16E71A2741}</c15:txfldGUID>
                      <c15:f>Tabel!$C$123</c15:f>
                      <c15:dlblFieldTableCache>
                        <c:ptCount val="1"/>
                        <c:pt idx="0">
                          <c:v>-3,06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73E2-4855-9C27-1D7EC58E18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D3EE0D-7265-4B81-A843-8E7FED77F45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{F5D3EE0D-7265-4B81-A843-8E7FED77F459}</c15:txfldGUID>
                      <c15:f>Tabel!$C$124</c15:f>
                      <c15:dlblFieldTableCache>
                        <c:ptCount val="1"/>
                        <c:pt idx="0">
                          <c:v>-2,27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73E2-4855-9C27-1D7EC58E18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0CDFCA8-0ABF-4297-88C9-915D8D63993B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{A0CDFCA8-0ABF-4297-88C9-915D8D63993B}</c15:txfldGUID>
                      <c15:f>Tabel!$C$125</c15:f>
                      <c15:dlblFieldTableCache>
                        <c:ptCount val="1"/>
                        <c:pt idx="0">
                          <c:v>-3,21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73E2-4855-9C27-1D7EC58E18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1E0F9D-FD27-46ED-9FF5-DB732368B4E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{4C1E0F9D-FD27-46ED-9FF5-DB732368B4EE}</c15:txfldGUID>
                      <c15:f>Tabel!$C$126</c15:f>
                      <c15:dlblFieldTableCache>
                        <c:ptCount val="1"/>
                        <c:pt idx="0">
                          <c:v>6,14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73E2-4855-9C27-1D7EC58E1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Tabel!$K$122:$K$128</c:f>
              <c:numCache>
                <c:formatCode>General</c:formatCode>
                <c:ptCount val="7"/>
                <c:pt idx="0">
                  <c:v>295</c:v>
                </c:pt>
                <c:pt idx="1">
                  <c:v>295</c:v>
                </c:pt>
                <c:pt idx="2" formatCode="0.00">
                  <c:v>289.31758734782557</c:v>
                </c:pt>
                <c:pt idx="3" formatCode="0.00">
                  <c:v>290.78185728524204</c:v>
                </c:pt>
                <c:pt idx="4" formatCode="0.00">
                  <c:v>289.04207910306809</c:v>
                </c:pt>
                <c:pt idx="5" formatCode="0.00">
                  <c:v>306.41504213682845</c:v>
                </c:pt>
                <c:pt idx="6">
                  <c:v>295</c:v>
                </c:pt>
              </c:numCache>
            </c:numRef>
          </c:xVal>
          <c:yVal>
            <c:numRef>
              <c:f>Tabel!$L$122:$L$128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3E2-4855-9C27-1D7EC58E18D2}"/>
            </c:ext>
          </c:extLst>
        </c:ser>
        <c:ser>
          <c:idx val="11"/>
          <c:order val="6"/>
          <c:tx>
            <c:strRef>
              <c:f>Tabel!$Q$2</c:f>
              <c:strCache>
                <c:ptCount val="1"/>
                <c:pt idx="0">
                  <c:v>H'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Tabel!$T$2:$T$3</c:f>
              <c:numCache>
                <c:formatCode>0.000</c:formatCode>
                <c:ptCount val="2"/>
                <c:pt idx="0">
                  <c:v>-50</c:v>
                </c:pt>
                <c:pt idx="1">
                  <c:v>-15.238095238095239</c:v>
                </c:pt>
              </c:numCache>
            </c:numRef>
          </c:xVal>
          <c:yVal>
            <c:numRef>
              <c:f>Tabel!$U$2:$U$3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3E2-4855-9C27-1D7EC58E18D2}"/>
            </c:ext>
          </c:extLst>
        </c:ser>
        <c:ser>
          <c:idx val="12"/>
          <c:order val="7"/>
          <c:tx>
            <c:strRef>
              <c:f>Tabel!$Q$4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Tabel!$T$4:$T$5</c:f>
              <c:numCache>
                <c:formatCode>0.000</c:formatCode>
                <c:ptCount val="2"/>
                <c:pt idx="0">
                  <c:v>15.238095238095239</c:v>
                </c:pt>
                <c:pt idx="1">
                  <c:v>50</c:v>
                </c:pt>
              </c:numCache>
            </c:numRef>
          </c:xVal>
          <c:yVal>
            <c:numRef>
              <c:f>Tabel!$U$4:$U$5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3E2-4855-9C27-1D7EC58E18D2}"/>
            </c:ext>
          </c:extLst>
        </c:ser>
        <c:ser>
          <c:idx val="13"/>
          <c:order val="8"/>
          <c:tx>
            <c:strRef>
              <c:f>Tabel!$Q$6</c:f>
              <c:strCache>
                <c:ptCount val="1"/>
                <c:pt idx="0">
                  <c:v>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Tabel!$T$6:$T$7</c:f>
              <c:numCache>
                <c:formatCode>0.000</c:formatCode>
                <c:ptCount val="2"/>
                <c:pt idx="0">
                  <c:v>-50</c:v>
                </c:pt>
                <c:pt idx="1">
                  <c:v>50</c:v>
                </c:pt>
              </c:numCache>
            </c:numRef>
          </c:xVal>
          <c:yVal>
            <c:numRef>
              <c:f>Tabel!$U$6:$U$7</c:f>
              <c:numCache>
                <c:formatCode>0.000</c:formatCode>
                <c:ptCount val="2"/>
                <c:pt idx="0">
                  <c:v>61.904761904761905</c:v>
                </c:pt>
                <c:pt idx="1">
                  <c:v>61.904761904761905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3E2-4855-9C27-1D7EC58E18D2}"/>
            </c:ext>
          </c:extLst>
        </c:ser>
        <c:ser>
          <c:idx val="10"/>
          <c:order val="9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73E2-4855-9C27-1D7EC58E18D2}"/>
              </c:ext>
            </c:extLst>
          </c:dPt>
          <c:dPt>
            <c:idx val="3"/>
            <c:marker>
              <c:symbol val="circle"/>
              <c:size val="4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3E2-4855-9C27-1D7EC58E18D2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3E2-4855-9C27-1D7EC58E18D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3E2-4855-9C27-1D7EC58E18D2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F1685967-BCC7-45B9-96F9-89D682A56D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{F1685967-BCC7-45B9-96F9-89D682A56D81}</c15:txfldGUID>
                      <c15:f>Tabel!$E$123</c15:f>
                      <c15:dlblFieldTableCache>
                        <c:ptCount val="1"/>
                        <c:pt idx="0">
                          <c:v>-3,97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73E2-4855-9C27-1D7EC58E18D2}"/>
                </c:ext>
              </c:extLst>
            </c:dLbl>
            <c:dLbl>
              <c:idx val="3"/>
              <c:layout>
                <c:manualLayout>
                  <c:x val="-5.9463516398493656E-2"/>
                  <c:y val="7.7611111111111075E-2"/>
                </c:manualLayout>
              </c:layout>
              <c:tx>
                <c:rich>
                  <a:bodyPr/>
                  <a:lstStyle/>
                  <a:p>
                    <a:fld id="{249128E9-404F-492C-8B98-936295B2519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{249128E9-404F-492C-8B98-936295B25191}</c15:txfldGUID>
                      <c15:f>Tabel!$E$124</c15:f>
                      <c15:dlblFieldTableCache>
                        <c:ptCount val="1"/>
                        <c:pt idx="0">
                          <c:v>-2,95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73E2-4855-9C27-1D7EC58E18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44768F-F07D-491D-9827-C2FBDCB5BD3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{E044768F-F07D-491D-9827-C2FBDCB5BD38}</c15:txfldGUID>
                      <c15:f>Tabel!$E$125</c15:f>
                      <c15:dlblFieldTableCache>
                        <c:ptCount val="1"/>
                        <c:pt idx="0">
                          <c:v>-14,93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73E2-4855-9C27-1D7EC58E18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7760F19-E95B-48C1-BC58-8CBCBA8EB5B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{F7760F19-E95B-48C1-BC58-8CBCBA8EB5B0}</c15:txfldGUID>
                      <c15:f>Tabel!$E$126</c15:f>
                      <c15:dlblFieldTableCache>
                        <c:ptCount val="1"/>
                        <c:pt idx="0">
                          <c:v>-1,46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73E2-4855-9C27-1D7EC58E1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Tabel!$M$122:$M$128</c:f>
              <c:numCache>
                <c:formatCode>General</c:formatCode>
                <c:ptCount val="7"/>
                <c:pt idx="0">
                  <c:v>415</c:v>
                </c:pt>
                <c:pt idx="1">
                  <c:v>415</c:v>
                </c:pt>
                <c:pt idx="2" formatCode="0.00">
                  <c:v>409.78030850223286</c:v>
                </c:pt>
                <c:pt idx="3" formatCode="0.00">
                  <c:v>411.12534234799625</c:v>
                </c:pt>
                <c:pt idx="4" formatCode="0.00">
                  <c:v>387.26998631085809</c:v>
                </c:pt>
                <c:pt idx="5" formatCode="0.00">
                  <c:v>412.28868370535582</c:v>
                </c:pt>
                <c:pt idx="6">
                  <c:v>415</c:v>
                </c:pt>
              </c:numCache>
            </c:numRef>
          </c:xVal>
          <c:yVal>
            <c:numRef>
              <c:f>Tabel!$N$122:$N$128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3E2-4855-9C27-1D7EC58E18D2}"/>
            </c:ext>
          </c:extLst>
        </c:ser>
        <c:ser>
          <c:idx val="5"/>
          <c:order val="1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Tabel!$K$111:$K$112</c:f>
              <c:numCache>
                <c:formatCode>General</c:formatCode>
                <c:ptCount val="2"/>
                <c:pt idx="0">
                  <c:v>160</c:v>
                </c:pt>
                <c:pt idx="1">
                  <c:v>150</c:v>
                </c:pt>
              </c:numCache>
            </c:numRef>
          </c:xVal>
          <c:yVal>
            <c:numRef>
              <c:f>Tabel!$L$111:$L$112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3E2-4855-9C27-1D7EC58E18D2}"/>
            </c:ext>
          </c:extLst>
        </c:ser>
        <c:ser>
          <c:idx val="6"/>
          <c:order val="1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Tabel!$K$113:$K$114</c:f>
              <c:numCache>
                <c:formatCode>General</c:formatCode>
                <c:ptCount val="2"/>
                <c:pt idx="0">
                  <c:v>155</c:v>
                </c:pt>
                <c:pt idx="1">
                  <c:v>155</c:v>
                </c:pt>
              </c:numCache>
            </c:numRef>
          </c:xVal>
          <c:yVal>
            <c:numRef>
              <c:f>Tabel!$L$113:$L$114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3E2-4855-9C27-1D7EC58E18D2}"/>
            </c:ext>
          </c:extLst>
        </c:ser>
        <c:ser>
          <c:idx val="7"/>
          <c:order val="12"/>
          <c:tx>
            <c:strRef>
              <c:f>Tabel!$M$111:$M$112</c:f>
              <c:strCache>
                <c:ptCount val="2"/>
                <c:pt idx="0">
                  <c:v>250</c:v>
                </c:pt>
                <c:pt idx="1">
                  <c:v>240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Tabel!$M$111:$M$112</c:f>
              <c:numCache>
                <c:formatCode>General</c:formatCode>
                <c:ptCount val="2"/>
                <c:pt idx="0">
                  <c:v>250</c:v>
                </c:pt>
                <c:pt idx="1">
                  <c:v>240</c:v>
                </c:pt>
              </c:numCache>
            </c:numRef>
          </c:xVal>
          <c:yVal>
            <c:numRef>
              <c:f>Tabel!$N$111:$N$112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3E2-4855-9C27-1D7EC58E18D2}"/>
            </c:ext>
          </c:extLst>
        </c:ser>
        <c:ser>
          <c:idx val="8"/>
          <c:order val="1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Tabel!$M$113:$M$114</c:f>
              <c:numCache>
                <c:formatCode>General</c:formatCode>
                <c:ptCount val="2"/>
                <c:pt idx="0">
                  <c:v>245</c:v>
                </c:pt>
                <c:pt idx="1">
                  <c:v>245</c:v>
                </c:pt>
              </c:numCache>
            </c:numRef>
          </c:xVal>
          <c:yVal>
            <c:numRef>
              <c:f>Tabel!$N$113:$N$114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3E2-4855-9C27-1D7EC58E18D2}"/>
            </c:ext>
          </c:extLst>
        </c:ser>
        <c:ser>
          <c:idx val="14"/>
          <c:order val="1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Tabel!$O$111:$O$112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Tabel!$P$111:$P$112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3E2-4855-9C27-1D7EC58E18D2}"/>
            </c:ext>
          </c:extLst>
        </c:ser>
        <c:ser>
          <c:idx val="15"/>
          <c:order val="1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Tabel!$O$113:$O$114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Tabel!$P$113:$P$114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3E2-4855-9C27-1D7EC58E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43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7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Periode Fundamental</a:t>
            </a:r>
            <a:r>
              <a:rPr lang="en-US" baseline="0"/>
              <a:t> &amp; Koefisien Respon Gempa Elastik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Csm - Batuan Keras (SA)</c:v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Spektrum'!$B$50:$B$79</c:f>
              <c:numCache>
                <c:formatCode>0.00</c:formatCode>
                <c:ptCount val="30"/>
                <c:pt idx="0">
                  <c:v>0</c:v>
                </c:pt>
                <c:pt idx="1">
                  <c:v>8.3333333333333343E-2</c:v>
                </c:pt>
                <c:pt idx="2">
                  <c:v>0.41666666666666669</c:v>
                </c:pt>
                <c:pt idx="3">
                  <c:v>0.77160493827160437</c:v>
                </c:pt>
                <c:pt idx="4">
                  <c:v>1.1265432098765427</c:v>
                </c:pt>
                <c:pt idx="5">
                  <c:v>1.481481481481481</c:v>
                </c:pt>
                <c:pt idx="6">
                  <c:v>1.8364197530864192</c:v>
                </c:pt>
                <c:pt idx="7">
                  <c:v>2.1913580246913575</c:v>
                </c:pt>
                <c:pt idx="8">
                  <c:v>2.5462962962962958</c:v>
                </c:pt>
                <c:pt idx="9">
                  <c:v>2.9012345679012341</c:v>
                </c:pt>
                <c:pt idx="10">
                  <c:v>3.2561728395061724</c:v>
                </c:pt>
                <c:pt idx="11">
                  <c:v>3.6111111111111107</c:v>
                </c:pt>
                <c:pt idx="12">
                  <c:v>3.966049382716049</c:v>
                </c:pt>
                <c:pt idx="13">
                  <c:v>4.3209876543209873</c:v>
                </c:pt>
                <c:pt idx="14">
                  <c:v>4.6759259259259256</c:v>
                </c:pt>
                <c:pt idx="15">
                  <c:v>5.0308641975308639</c:v>
                </c:pt>
                <c:pt idx="16">
                  <c:v>5.3858024691358022</c:v>
                </c:pt>
                <c:pt idx="17">
                  <c:v>5.7407407407407405</c:v>
                </c:pt>
                <c:pt idx="18">
                  <c:v>6.0956790123456788</c:v>
                </c:pt>
                <c:pt idx="19">
                  <c:v>6.4506172839506171</c:v>
                </c:pt>
                <c:pt idx="20">
                  <c:v>6.8055555555555554</c:v>
                </c:pt>
                <c:pt idx="21">
                  <c:v>7.1604938271604937</c:v>
                </c:pt>
                <c:pt idx="22">
                  <c:v>7.5154320987654319</c:v>
                </c:pt>
                <c:pt idx="23">
                  <c:v>7.8703703703703702</c:v>
                </c:pt>
                <c:pt idx="24">
                  <c:v>8.2253086419753085</c:v>
                </c:pt>
                <c:pt idx="25">
                  <c:v>8.5802469135802468</c:v>
                </c:pt>
                <c:pt idx="26">
                  <c:v>8.5802469135802468</c:v>
                </c:pt>
                <c:pt idx="27">
                  <c:v>9.2901234567901234</c:v>
                </c:pt>
                <c:pt idx="28">
                  <c:v>9.6450617283950617</c:v>
                </c:pt>
                <c:pt idx="29">
                  <c:v>10</c:v>
                </c:pt>
              </c:numCache>
            </c:numRef>
          </c:xVal>
          <c:yVal>
            <c:numRef>
              <c:f>'Respon Spektrum'!$C$50:$C$79</c:f>
              <c:numCache>
                <c:formatCode>0.000</c:formatCode>
                <c:ptCount val="30"/>
                <c:pt idx="0">
                  <c:v>0.24</c:v>
                </c:pt>
                <c:pt idx="1">
                  <c:v>0.48</c:v>
                </c:pt>
                <c:pt idx="2">
                  <c:v>0.48</c:v>
                </c:pt>
                <c:pt idx="3">
                  <c:v>0.25920000000000021</c:v>
                </c:pt>
                <c:pt idx="4">
                  <c:v>0.17753424657534256</c:v>
                </c:pt>
                <c:pt idx="5">
                  <c:v>0.13500000000000006</c:v>
                </c:pt>
                <c:pt idx="6">
                  <c:v>0.10890756302521012</c:v>
                </c:pt>
                <c:pt idx="7">
                  <c:v>9.1267605633802845E-2</c:v>
                </c:pt>
                <c:pt idx="8">
                  <c:v>7.8545454545454557E-2</c:v>
                </c:pt>
                <c:pt idx="9">
                  <c:v>6.8936170212765976E-2</c:v>
                </c:pt>
                <c:pt idx="10">
                  <c:v>6.1421800947867311E-2</c:v>
                </c:pt>
                <c:pt idx="11">
                  <c:v>5.5384615384615393E-2</c:v>
                </c:pt>
                <c:pt idx="12">
                  <c:v>5.0428015564202344E-2</c:v>
                </c:pt>
                <c:pt idx="13">
                  <c:v>4.6285714285714291E-2</c:v>
                </c:pt>
                <c:pt idx="14">
                  <c:v>4.2772277227722776E-2</c:v>
                </c:pt>
                <c:pt idx="15">
                  <c:v>3.9754601226993869E-2</c:v>
                </c:pt>
                <c:pt idx="16">
                  <c:v>3.7134670487106024E-2</c:v>
                </c:pt>
                <c:pt idx="17">
                  <c:v>3.4838709677419359E-2</c:v>
                </c:pt>
                <c:pt idx="18">
                  <c:v>3.2810126582278484E-2</c:v>
                </c:pt>
                <c:pt idx="19">
                  <c:v>3.1004784688995219E-2</c:v>
                </c:pt>
                <c:pt idx="20">
                  <c:v>2.9387755102040818E-2</c:v>
                </c:pt>
                <c:pt idx="21">
                  <c:v>2.7931034482758622E-2</c:v>
                </c:pt>
                <c:pt idx="22">
                  <c:v>2.6611909650924026E-2</c:v>
                </c:pt>
                <c:pt idx="23">
                  <c:v>2.5411764705882356E-2</c:v>
                </c:pt>
                <c:pt idx="24">
                  <c:v>2.4315196998123827E-2</c:v>
                </c:pt>
                <c:pt idx="25">
                  <c:v>2.3309352517985615E-2</c:v>
                </c:pt>
                <c:pt idx="26">
                  <c:v>2.3309352517985615E-2</c:v>
                </c:pt>
                <c:pt idx="27">
                  <c:v>2.1528239202657808E-2</c:v>
                </c:pt>
                <c:pt idx="28">
                  <c:v>2.0736000000000001E-2</c:v>
                </c:pt>
                <c:pt idx="29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FC-4FDF-8455-317827CF6405}"/>
            </c:ext>
          </c:extLst>
        </c:ser>
        <c:ser>
          <c:idx val="3"/>
          <c:order val="1"/>
          <c:tx>
            <c:v>Csm - Batuan (SB)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Spektrum'!$D$50:$D$79</c:f>
              <c:numCache>
                <c:formatCode>0.00</c:formatCode>
                <c:ptCount val="30"/>
                <c:pt idx="0">
                  <c:v>0</c:v>
                </c:pt>
                <c:pt idx="1">
                  <c:v>8.3333333333333343E-2</c:v>
                </c:pt>
                <c:pt idx="2">
                  <c:v>0.41666666666666669</c:v>
                </c:pt>
                <c:pt idx="3">
                  <c:v>0.77160493827160437</c:v>
                </c:pt>
                <c:pt idx="4">
                  <c:v>1.1265432098765427</c:v>
                </c:pt>
                <c:pt idx="5">
                  <c:v>1.481481481481481</c:v>
                </c:pt>
                <c:pt idx="6">
                  <c:v>1.8364197530864192</c:v>
                </c:pt>
                <c:pt idx="7">
                  <c:v>2.1913580246913575</c:v>
                </c:pt>
                <c:pt idx="8">
                  <c:v>2.5462962962962958</c:v>
                </c:pt>
                <c:pt idx="9">
                  <c:v>2.9012345679012341</c:v>
                </c:pt>
                <c:pt idx="10">
                  <c:v>3.2561728395061724</c:v>
                </c:pt>
                <c:pt idx="11">
                  <c:v>3.6111111111111107</c:v>
                </c:pt>
                <c:pt idx="12">
                  <c:v>3.966049382716049</c:v>
                </c:pt>
                <c:pt idx="13">
                  <c:v>4.3209876543209873</c:v>
                </c:pt>
                <c:pt idx="14">
                  <c:v>4.6759259259259256</c:v>
                </c:pt>
                <c:pt idx="15">
                  <c:v>5.0308641975308639</c:v>
                </c:pt>
                <c:pt idx="16">
                  <c:v>5.3858024691358022</c:v>
                </c:pt>
                <c:pt idx="17">
                  <c:v>5.7407407407407405</c:v>
                </c:pt>
                <c:pt idx="18">
                  <c:v>6.0956790123456788</c:v>
                </c:pt>
                <c:pt idx="19">
                  <c:v>6.4506172839506171</c:v>
                </c:pt>
                <c:pt idx="20">
                  <c:v>6.8055555555555554</c:v>
                </c:pt>
                <c:pt idx="21">
                  <c:v>7.1604938271604937</c:v>
                </c:pt>
                <c:pt idx="22">
                  <c:v>7.5154320987654319</c:v>
                </c:pt>
                <c:pt idx="23">
                  <c:v>7.8703703703703702</c:v>
                </c:pt>
                <c:pt idx="24">
                  <c:v>8.2253086419753085</c:v>
                </c:pt>
                <c:pt idx="25">
                  <c:v>8.5802469135802468</c:v>
                </c:pt>
                <c:pt idx="26">
                  <c:v>8.9351851851851851</c:v>
                </c:pt>
                <c:pt idx="27">
                  <c:v>9.2901234567901234</c:v>
                </c:pt>
                <c:pt idx="28">
                  <c:v>9.6450617283950617</c:v>
                </c:pt>
                <c:pt idx="29">
                  <c:v>10</c:v>
                </c:pt>
              </c:numCache>
            </c:numRef>
          </c:xVal>
          <c:yVal>
            <c:numRef>
              <c:f>'Respon Spektrum'!$E$50:$E$79</c:f>
              <c:numCache>
                <c:formatCode>0.000</c:formatCode>
                <c:ptCount val="30"/>
                <c:pt idx="0">
                  <c:v>0.3</c:v>
                </c:pt>
                <c:pt idx="1">
                  <c:v>0.6</c:v>
                </c:pt>
                <c:pt idx="2">
                  <c:v>0.6</c:v>
                </c:pt>
                <c:pt idx="3">
                  <c:v>0.32400000000000023</c:v>
                </c:pt>
                <c:pt idx="4">
                  <c:v>0.2219178082191782</c:v>
                </c:pt>
                <c:pt idx="5">
                  <c:v>0.16875000000000007</c:v>
                </c:pt>
                <c:pt idx="6">
                  <c:v>0.13613445378151265</c:v>
                </c:pt>
                <c:pt idx="7">
                  <c:v>0.11408450704225355</c:v>
                </c:pt>
                <c:pt idx="8">
                  <c:v>9.8181818181818203E-2</c:v>
                </c:pt>
                <c:pt idx="9">
                  <c:v>8.617021276595746E-2</c:v>
                </c:pt>
                <c:pt idx="10">
                  <c:v>7.6777251184834139E-2</c:v>
                </c:pt>
                <c:pt idx="11">
                  <c:v>6.9230769230769235E-2</c:v>
                </c:pt>
                <c:pt idx="12">
                  <c:v>6.303501945525293E-2</c:v>
                </c:pt>
                <c:pt idx="13">
                  <c:v>5.7857142857142864E-2</c:v>
                </c:pt>
                <c:pt idx="14">
                  <c:v>5.3465346534653471E-2</c:v>
                </c:pt>
                <c:pt idx="15">
                  <c:v>4.9693251533742336E-2</c:v>
                </c:pt>
                <c:pt idx="16">
                  <c:v>4.6418338108882524E-2</c:v>
                </c:pt>
                <c:pt idx="17">
                  <c:v>4.3548387096774194E-2</c:v>
                </c:pt>
                <c:pt idx="18">
                  <c:v>4.1012658227848102E-2</c:v>
                </c:pt>
                <c:pt idx="19">
                  <c:v>3.8755980861244023E-2</c:v>
                </c:pt>
                <c:pt idx="20">
                  <c:v>3.6734693877551024E-2</c:v>
                </c:pt>
                <c:pt idx="21">
                  <c:v>3.4913793103448276E-2</c:v>
                </c:pt>
                <c:pt idx="22">
                  <c:v>3.3264887063655033E-2</c:v>
                </c:pt>
                <c:pt idx="23">
                  <c:v>3.1764705882352945E-2</c:v>
                </c:pt>
                <c:pt idx="24">
                  <c:v>3.0393996247654785E-2</c:v>
                </c:pt>
                <c:pt idx="25">
                  <c:v>2.9136690647482016E-2</c:v>
                </c:pt>
                <c:pt idx="26">
                  <c:v>2.7979274611398965E-2</c:v>
                </c:pt>
                <c:pt idx="27">
                  <c:v>2.6910299003322258E-2</c:v>
                </c:pt>
                <c:pt idx="28">
                  <c:v>2.5919999999999999E-2</c:v>
                </c:pt>
                <c:pt idx="29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FC-4FDF-8455-317827CF6405}"/>
            </c:ext>
          </c:extLst>
        </c:ser>
        <c:ser>
          <c:idx val="4"/>
          <c:order val="2"/>
          <c:tx>
            <c:v>Csm - Tanah Keras (SC)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'Respon Spektrum'!$F$50:$F$79</c:f>
              <c:numCache>
                <c:formatCode>0.00</c:formatCode>
                <c:ptCount val="30"/>
                <c:pt idx="0">
                  <c:v>0</c:v>
                </c:pt>
                <c:pt idx="1">
                  <c:v>0.10833333333333334</c:v>
                </c:pt>
                <c:pt idx="2">
                  <c:v>0.54166666666666663</c:v>
                </c:pt>
                <c:pt idx="3">
                  <c:v>0.89197530864197461</c:v>
                </c:pt>
                <c:pt idx="4">
                  <c:v>1.2422839506172831</c:v>
                </c:pt>
                <c:pt idx="5">
                  <c:v>1.5925925925925917</c:v>
                </c:pt>
                <c:pt idx="6">
                  <c:v>1.9429012345679002</c:v>
                </c:pt>
                <c:pt idx="7">
                  <c:v>2.2932098765432096</c:v>
                </c:pt>
                <c:pt idx="8">
                  <c:v>2.6435185185185182</c:v>
                </c:pt>
                <c:pt idx="9">
                  <c:v>2.9938271604938267</c:v>
                </c:pt>
                <c:pt idx="10">
                  <c:v>3.3441358024691352</c:v>
                </c:pt>
                <c:pt idx="11">
                  <c:v>3.6944444444444446</c:v>
                </c:pt>
                <c:pt idx="12">
                  <c:v>4.0447530864197523</c:v>
                </c:pt>
                <c:pt idx="13">
                  <c:v>4.3950617283950617</c:v>
                </c:pt>
                <c:pt idx="14">
                  <c:v>4.7453703703703702</c:v>
                </c:pt>
                <c:pt idx="15">
                  <c:v>5.0956790123456788</c:v>
                </c:pt>
                <c:pt idx="16">
                  <c:v>5.4459876543209873</c:v>
                </c:pt>
                <c:pt idx="17">
                  <c:v>5.7962962962962958</c:v>
                </c:pt>
                <c:pt idx="18">
                  <c:v>6.1466049382716044</c:v>
                </c:pt>
                <c:pt idx="19">
                  <c:v>6.4969135802469129</c:v>
                </c:pt>
                <c:pt idx="20">
                  <c:v>6.8472222222222223</c:v>
                </c:pt>
                <c:pt idx="21">
                  <c:v>7.1975308641975309</c:v>
                </c:pt>
                <c:pt idx="22">
                  <c:v>7.5478395061728394</c:v>
                </c:pt>
                <c:pt idx="23">
                  <c:v>7.8981481481481479</c:v>
                </c:pt>
                <c:pt idx="24">
                  <c:v>8.2484567901234573</c:v>
                </c:pt>
                <c:pt idx="25">
                  <c:v>8.5987654320987659</c:v>
                </c:pt>
                <c:pt idx="26">
                  <c:v>8.9490740740740744</c:v>
                </c:pt>
                <c:pt idx="27">
                  <c:v>9.2993827160493829</c:v>
                </c:pt>
                <c:pt idx="28">
                  <c:v>9.6496913580246915</c:v>
                </c:pt>
                <c:pt idx="29">
                  <c:v>10</c:v>
                </c:pt>
              </c:numCache>
            </c:numRef>
          </c:xVal>
          <c:yVal>
            <c:numRef>
              <c:f>'Respon Spektrum'!$G$50:$G$79</c:f>
              <c:numCache>
                <c:formatCode>0.000</c:formatCode>
                <c:ptCount val="30"/>
                <c:pt idx="0">
                  <c:v>0.33</c:v>
                </c:pt>
                <c:pt idx="1">
                  <c:v>0.6</c:v>
                </c:pt>
                <c:pt idx="2">
                  <c:v>0.6</c:v>
                </c:pt>
                <c:pt idx="3">
                  <c:v>0.36435986159169576</c:v>
                </c:pt>
                <c:pt idx="4">
                  <c:v>0.26161490683229827</c:v>
                </c:pt>
                <c:pt idx="5">
                  <c:v>0.20406976744186056</c:v>
                </c:pt>
                <c:pt idx="6">
                  <c:v>0.1672756155679111</c:v>
                </c:pt>
                <c:pt idx="7">
                  <c:v>0.14172274562584117</c:v>
                </c:pt>
                <c:pt idx="8">
                  <c:v>0.12294220665499124</c:v>
                </c:pt>
                <c:pt idx="9">
                  <c:v>0.10855670103092784</c:v>
                </c:pt>
                <c:pt idx="10">
                  <c:v>9.7185048454083989E-2</c:v>
                </c:pt>
                <c:pt idx="11">
                  <c:v>8.7969924812030059E-2</c:v>
                </c:pt>
                <c:pt idx="12">
                  <c:v>8.0351011064479214E-2</c:v>
                </c:pt>
                <c:pt idx="13">
                  <c:v>7.3946629213483134E-2</c:v>
                </c:pt>
                <c:pt idx="14">
                  <c:v>6.8487804878048772E-2</c:v>
                </c:pt>
                <c:pt idx="15">
                  <c:v>6.377952755905511E-2</c:v>
                </c:pt>
                <c:pt idx="16">
                  <c:v>5.9676962312269759E-2</c:v>
                </c:pt>
                <c:pt idx="17">
                  <c:v>5.6070287539936099E-2</c:v>
                </c:pt>
                <c:pt idx="18">
                  <c:v>5.287471754958574E-2</c:v>
                </c:pt>
                <c:pt idx="19">
                  <c:v>5.0023752969121135E-2</c:v>
                </c:pt>
                <c:pt idx="20">
                  <c:v>4.7464503042596341E-2</c:v>
                </c:pt>
                <c:pt idx="21">
                  <c:v>4.5154373927958825E-2</c:v>
                </c:pt>
                <c:pt idx="22">
                  <c:v>4.3058679206706189E-2</c:v>
                </c:pt>
                <c:pt idx="23">
                  <c:v>4.1148886283704569E-2</c:v>
                </c:pt>
                <c:pt idx="24">
                  <c:v>3.9401309635173049E-2</c:v>
                </c:pt>
                <c:pt idx="25">
                  <c:v>3.7796123474515428E-2</c:v>
                </c:pt>
                <c:pt idx="26">
                  <c:v>3.6316606311432999E-2</c:v>
                </c:pt>
                <c:pt idx="27">
                  <c:v>3.4948556256223028E-2</c:v>
                </c:pt>
                <c:pt idx="28">
                  <c:v>3.3679833679833675E-2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FC-4FDF-8455-317827CF6405}"/>
            </c:ext>
          </c:extLst>
        </c:ser>
        <c:ser>
          <c:idx val="5"/>
          <c:order val="3"/>
          <c:tx>
            <c:v>Csm - Tanah Sedang (SD)</c:v>
          </c:tx>
          <c:spPr>
            <a:ln w="158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'Respon Spektrum'!$H$50:$H$79</c:f>
              <c:numCache>
                <c:formatCode>0.00</c:formatCode>
                <c:ptCount val="30"/>
                <c:pt idx="0">
                  <c:v>0</c:v>
                </c:pt>
                <c:pt idx="1">
                  <c:v>8.2070707070707072E-2</c:v>
                </c:pt>
                <c:pt idx="2">
                  <c:v>0.41035353535353536</c:v>
                </c:pt>
                <c:pt idx="3">
                  <c:v>0.7655256266367374</c:v>
                </c:pt>
                <c:pt idx="4">
                  <c:v>1.1206977179199402</c:v>
                </c:pt>
                <c:pt idx="5">
                  <c:v>1.475869809203143</c:v>
                </c:pt>
                <c:pt idx="6">
                  <c:v>1.8310419004863441</c:v>
                </c:pt>
                <c:pt idx="7">
                  <c:v>2.1862139917695469</c:v>
                </c:pt>
                <c:pt idx="8">
                  <c:v>2.5413860830527488</c:v>
                </c:pt>
                <c:pt idx="9">
                  <c:v>2.8965581743359516</c:v>
                </c:pt>
                <c:pt idx="10">
                  <c:v>3.2517302656191536</c:v>
                </c:pt>
                <c:pt idx="11">
                  <c:v>3.6069023569023564</c:v>
                </c:pt>
                <c:pt idx="12">
                  <c:v>3.9620744481855583</c:v>
                </c:pt>
                <c:pt idx="13">
                  <c:v>4.3172465394687611</c:v>
                </c:pt>
                <c:pt idx="14">
                  <c:v>4.6724186307519631</c:v>
                </c:pt>
                <c:pt idx="15">
                  <c:v>5.0275907220351668</c:v>
                </c:pt>
                <c:pt idx="16">
                  <c:v>5.3827628133183687</c:v>
                </c:pt>
                <c:pt idx="17">
                  <c:v>5.7379349046015715</c:v>
                </c:pt>
                <c:pt idx="18">
                  <c:v>6.0931069958847734</c:v>
                </c:pt>
                <c:pt idx="19">
                  <c:v>6.4482790871679754</c:v>
                </c:pt>
                <c:pt idx="20">
                  <c:v>6.8034511784511782</c:v>
                </c:pt>
                <c:pt idx="21">
                  <c:v>7.158623269734381</c:v>
                </c:pt>
                <c:pt idx="22">
                  <c:v>7.5137953610175838</c:v>
                </c:pt>
                <c:pt idx="23">
                  <c:v>7.8689674523007858</c:v>
                </c:pt>
                <c:pt idx="24">
                  <c:v>8.2241395435839877</c:v>
                </c:pt>
                <c:pt idx="25">
                  <c:v>8.5793116348671905</c:v>
                </c:pt>
                <c:pt idx="26">
                  <c:v>8.9344837261503933</c:v>
                </c:pt>
                <c:pt idx="27">
                  <c:v>9.2896558174335944</c:v>
                </c:pt>
                <c:pt idx="28">
                  <c:v>9.6448279087167972</c:v>
                </c:pt>
                <c:pt idx="29">
                  <c:v>10</c:v>
                </c:pt>
              </c:numCache>
            </c:numRef>
          </c:xVal>
          <c:yVal>
            <c:numRef>
              <c:f>'Respon Spektrum'!$I$50:$I$79</c:f>
              <c:numCache>
                <c:formatCode>0.000</c:formatCode>
                <c:ptCount val="30"/>
                <c:pt idx="0">
                  <c:v>0.36</c:v>
                </c:pt>
                <c:pt idx="1">
                  <c:v>0.79199999999999993</c:v>
                </c:pt>
                <c:pt idx="2">
                  <c:v>0.79199999999999993</c:v>
                </c:pt>
                <c:pt idx="3">
                  <c:v>0.42454489920586452</c:v>
                </c:pt>
                <c:pt idx="4">
                  <c:v>0.28999791362403499</c:v>
                </c:pt>
                <c:pt idx="5">
                  <c:v>0.22020912547528507</c:v>
                </c:pt>
                <c:pt idx="6">
                  <c:v>0.17749457285148773</c:v>
                </c:pt>
                <c:pt idx="7">
                  <c:v>0.14865882352941176</c:v>
                </c:pt>
                <c:pt idx="8">
                  <c:v>0.12788296991443557</c:v>
                </c:pt>
                <c:pt idx="9">
                  <c:v>0.11220213109460769</c:v>
                </c:pt>
                <c:pt idx="10">
                  <c:v>9.9946789386639839E-2</c:v>
                </c:pt>
                <c:pt idx="11">
                  <c:v>9.0105017502917148E-2</c:v>
                </c:pt>
                <c:pt idx="12">
                  <c:v>8.2027736795514908E-2</c:v>
                </c:pt>
                <c:pt idx="13">
                  <c:v>7.5279462738301564E-2</c:v>
                </c:pt>
                <c:pt idx="14">
                  <c:v>6.9557123555021777E-2</c:v>
                </c:pt>
                <c:pt idx="15">
                  <c:v>6.4643288996372422E-2</c:v>
                </c:pt>
                <c:pt idx="16">
                  <c:v>6.0377915815994089E-2</c:v>
                </c:pt>
                <c:pt idx="17">
                  <c:v>5.6640586797066003E-2</c:v>
                </c:pt>
                <c:pt idx="18">
                  <c:v>5.3338961587167576E-2</c:v>
                </c:pt>
                <c:pt idx="19">
                  <c:v>5.0401044310682423E-2</c:v>
                </c:pt>
                <c:pt idx="20">
                  <c:v>4.7769873182802347E-2</c:v>
                </c:pt>
                <c:pt idx="21">
                  <c:v>4.5399790958975693E-2</c:v>
                </c:pt>
                <c:pt idx="22">
                  <c:v>4.3253773144546433E-2</c:v>
                </c:pt>
                <c:pt idx="23">
                  <c:v>4.1301479764663925E-2</c:v>
                </c:pt>
                <c:pt idx="24">
                  <c:v>3.9517811958035991E-2</c:v>
                </c:pt>
                <c:pt idx="25">
                  <c:v>3.7881827101275474E-2</c:v>
                </c:pt>
                <c:pt idx="26">
                  <c:v>3.6375912695297156E-2</c:v>
                </c:pt>
                <c:pt idx="27">
                  <c:v>3.4985149760885979E-2</c:v>
                </c:pt>
                <c:pt idx="28">
                  <c:v>3.3696816892530727E-2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0FC-4FDF-8455-317827CF6405}"/>
            </c:ext>
          </c:extLst>
        </c:ser>
        <c:ser>
          <c:idx val="6"/>
          <c:order val="4"/>
          <c:tx>
            <c:v>Csm - Tanah Lunak (SE)</c:v>
          </c:tx>
          <c:spPr>
            <a:ln w="158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'Respon Spektrum'!$J$50:$J$79</c:f>
              <c:numCache>
                <c:formatCode>0.00</c:formatCode>
                <c:ptCount val="30"/>
                <c:pt idx="0">
                  <c:v>0</c:v>
                </c:pt>
                <c:pt idx="1">
                  <c:v>7.2222222222222229E-2</c:v>
                </c:pt>
                <c:pt idx="2">
                  <c:v>0.3611111111111111</c:v>
                </c:pt>
                <c:pt idx="3">
                  <c:v>0.71810699588477434</c:v>
                </c:pt>
                <c:pt idx="4">
                  <c:v>1.0751028806584362</c:v>
                </c:pt>
                <c:pt idx="5">
                  <c:v>1.432098765432098</c:v>
                </c:pt>
                <c:pt idx="6">
                  <c:v>1.7890946502057616</c:v>
                </c:pt>
                <c:pt idx="7">
                  <c:v>2.1460905349794244</c:v>
                </c:pt>
                <c:pt idx="8">
                  <c:v>2.5030864197530862</c:v>
                </c:pt>
                <c:pt idx="9">
                  <c:v>2.8600823045267489</c:v>
                </c:pt>
                <c:pt idx="10">
                  <c:v>3.2170781893004108</c:v>
                </c:pt>
                <c:pt idx="11">
                  <c:v>3.5740740740740744</c:v>
                </c:pt>
                <c:pt idx="12">
                  <c:v>3.9310699588477362</c:v>
                </c:pt>
                <c:pt idx="13">
                  <c:v>4.288065843621399</c:v>
                </c:pt>
                <c:pt idx="14">
                  <c:v>4.6450617283950617</c:v>
                </c:pt>
                <c:pt idx="15">
                  <c:v>5.0020576131687244</c:v>
                </c:pt>
                <c:pt idx="16">
                  <c:v>5.3590534979423872</c:v>
                </c:pt>
                <c:pt idx="17">
                  <c:v>5.716049382716049</c:v>
                </c:pt>
                <c:pt idx="18">
                  <c:v>6.0730452674897126</c:v>
                </c:pt>
                <c:pt idx="19">
                  <c:v>6.4300411522633745</c:v>
                </c:pt>
                <c:pt idx="20">
                  <c:v>6.7870370370370372</c:v>
                </c:pt>
                <c:pt idx="21">
                  <c:v>7.1440329218106999</c:v>
                </c:pt>
                <c:pt idx="22">
                  <c:v>7.5010288065843618</c:v>
                </c:pt>
                <c:pt idx="23">
                  <c:v>7.8580246913580245</c:v>
                </c:pt>
                <c:pt idx="24">
                  <c:v>8.2150205761316872</c:v>
                </c:pt>
                <c:pt idx="25">
                  <c:v>8.5720164609053491</c:v>
                </c:pt>
                <c:pt idx="26">
                  <c:v>8.9290123456790127</c:v>
                </c:pt>
                <c:pt idx="27">
                  <c:v>9.2860082304526745</c:v>
                </c:pt>
                <c:pt idx="28">
                  <c:v>9.6430041152263382</c:v>
                </c:pt>
                <c:pt idx="29">
                  <c:v>10</c:v>
                </c:pt>
              </c:numCache>
            </c:numRef>
          </c:xVal>
          <c:yVal>
            <c:numRef>
              <c:f>'Respon Spektrum'!$K$50:$K$79</c:f>
              <c:numCache>
                <c:formatCode>0.000</c:formatCode>
                <c:ptCount val="30"/>
                <c:pt idx="0">
                  <c:v>0.36</c:v>
                </c:pt>
                <c:pt idx="1">
                  <c:v>0.89999999999999991</c:v>
                </c:pt>
                <c:pt idx="2">
                  <c:v>0.89999999999999991</c:v>
                </c:pt>
                <c:pt idx="3">
                  <c:v>0.4525787965616041</c:v>
                </c:pt>
                <c:pt idx="4">
                  <c:v>0.30229665071770334</c:v>
                </c:pt>
                <c:pt idx="5">
                  <c:v>0.22693965517241388</c:v>
                </c:pt>
                <c:pt idx="6">
                  <c:v>0.18165612420931565</c:v>
                </c:pt>
                <c:pt idx="7">
                  <c:v>0.15143815915627989</c:v>
                </c:pt>
                <c:pt idx="8">
                  <c:v>0.12983970406905054</c:v>
                </c:pt>
                <c:pt idx="9">
                  <c:v>0.11363309352517985</c:v>
                </c:pt>
                <c:pt idx="10">
                  <c:v>0.10102334505916215</c:v>
                </c:pt>
                <c:pt idx="11">
                  <c:v>9.0932642487046605E-2</c:v>
                </c:pt>
                <c:pt idx="12">
                  <c:v>8.2674692488877252E-2</c:v>
                </c:pt>
                <c:pt idx="13">
                  <c:v>7.5791746641074853E-2</c:v>
                </c:pt>
                <c:pt idx="14">
                  <c:v>6.9966777408637867E-2</c:v>
                </c:pt>
                <c:pt idx="15">
                  <c:v>6.4973262032085546E-2</c:v>
                </c:pt>
                <c:pt idx="16">
                  <c:v>6.0645037435208278E-2</c:v>
                </c:pt>
                <c:pt idx="17">
                  <c:v>5.6857451403887684E-2</c:v>
                </c:pt>
                <c:pt idx="18">
                  <c:v>5.351516178214466E-2</c:v>
                </c:pt>
                <c:pt idx="19">
                  <c:v>5.0543999999999992E-2</c:v>
                </c:pt>
                <c:pt idx="20">
                  <c:v>4.7885402455661655E-2</c:v>
                </c:pt>
                <c:pt idx="21">
                  <c:v>4.5492511520737321E-2</c:v>
                </c:pt>
                <c:pt idx="22">
                  <c:v>4.332738993279385E-2</c:v>
                </c:pt>
                <c:pt idx="23">
                  <c:v>4.1358994501178317E-2</c:v>
                </c:pt>
                <c:pt idx="24">
                  <c:v>3.9561678146524726E-2</c:v>
                </c:pt>
                <c:pt idx="25">
                  <c:v>3.7914066250600093E-2</c:v>
                </c:pt>
                <c:pt idx="26">
                  <c:v>3.6398202557898371E-2</c:v>
                </c:pt>
                <c:pt idx="27">
                  <c:v>3.4998892089519167E-2</c:v>
                </c:pt>
                <c:pt idx="28">
                  <c:v>3.3703190013869622E-2</c:v>
                </c:pt>
                <c:pt idx="29">
                  <c:v>3.2499999999999994E-2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0FC-4FDF-8455-317827CF6405}"/>
            </c:ext>
          </c:extLst>
        </c:ser>
        <c:ser>
          <c:idx val="1"/>
          <c:order val="5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'Respon Spektrum'!$L$88:$L$89</c:f>
              <c:numCache>
                <c:formatCode>0.000</c:formatCode>
                <c:ptCount val="2"/>
                <c:pt idx="0">
                  <c:v>0.60866886255804664</c:v>
                </c:pt>
                <c:pt idx="1">
                  <c:v>0.60866886255804664</c:v>
                </c:pt>
              </c:numCache>
            </c:numRef>
          </c:xVal>
          <c:yVal>
            <c:numRef>
              <c:f>'Respon Spektrum'!$M$88:$M$89</c:f>
              <c:numCache>
                <c:formatCode>0.000</c:formatCode>
                <c:ptCount val="2"/>
                <c:pt idx="0">
                  <c:v>0</c:v>
                </c:pt>
                <c:pt idx="1">
                  <c:v>0.53395207146645496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0FC-4FDF-8455-317827CF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147168"/>
        <c:axId val="497146840"/>
      </c:scatterChart>
      <c:valAx>
        <c:axId val="497147168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Periode,</a:t>
                </a:r>
                <a:r>
                  <a:rPr lang="en-US" baseline="0"/>
                  <a:t> 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6840"/>
        <c:crosses val="autoZero"/>
        <c:crossBetween val="midCat"/>
      </c:valAx>
      <c:valAx>
        <c:axId val="49714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Koefisien</a:t>
                </a:r>
                <a:r>
                  <a:rPr lang="en-US" baseline="0"/>
                  <a:t> respon gempa elastik, Csm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GAYA DALAM BIDANG</a:t>
            </a:r>
            <a:r>
              <a:rPr lang="en-US" sz="1600" b="1" baseline="0"/>
              <a:t> GESER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'Input (2) &amp; Process (1)'!$U$167</c:f>
              <c:strCache>
                <c:ptCount val="1"/>
                <c:pt idx="0">
                  <c:v>LAYAN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(1)'!$U$195:$U$215</c:f>
              <c:numCache>
                <c:formatCode>0.00</c:formatCode>
                <c:ptCount val="21"/>
                <c:pt idx="0">
                  <c:v>484.47787177852831</c:v>
                </c:pt>
                <c:pt idx="1">
                  <c:v>460.33874263210703</c:v>
                </c:pt>
                <c:pt idx="2">
                  <c:v>436.19961348568586</c:v>
                </c:pt>
                <c:pt idx="3">
                  <c:v>412.06048433926458</c:v>
                </c:pt>
                <c:pt idx="4">
                  <c:v>387.92135519284341</c:v>
                </c:pt>
                <c:pt idx="5">
                  <c:v>363.78222604642218</c:v>
                </c:pt>
                <c:pt idx="6">
                  <c:v>339.6430969000009</c:v>
                </c:pt>
                <c:pt idx="7">
                  <c:v>315.50396775357962</c:v>
                </c:pt>
                <c:pt idx="8">
                  <c:v>291.36483860715839</c:v>
                </c:pt>
                <c:pt idx="9">
                  <c:v>267.22570946073711</c:v>
                </c:pt>
                <c:pt idx="10">
                  <c:v>243.0865803143158</c:v>
                </c:pt>
                <c:pt idx="11">
                  <c:v>218.94745116789457</c:v>
                </c:pt>
                <c:pt idx="12">
                  <c:v>194.80832202147332</c:v>
                </c:pt>
                <c:pt idx="13">
                  <c:v>170.66919287505209</c:v>
                </c:pt>
                <c:pt idx="14">
                  <c:v>146.53006372863081</c:v>
                </c:pt>
                <c:pt idx="15">
                  <c:v>122.39093458220952</c:v>
                </c:pt>
                <c:pt idx="16">
                  <c:v>98.251805435788299</c:v>
                </c:pt>
                <c:pt idx="17">
                  <c:v>74.112676289367045</c:v>
                </c:pt>
                <c:pt idx="18">
                  <c:v>49.973547142945776</c:v>
                </c:pt>
                <c:pt idx="19">
                  <c:v>25.834417996524529</c:v>
                </c:pt>
                <c:pt idx="20">
                  <c:v>1.6952888501032697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EE-4B20-9D03-F588137C8C2A}"/>
            </c:ext>
          </c:extLst>
        </c:ser>
        <c:ser>
          <c:idx val="1"/>
          <c:order val="1"/>
          <c:tx>
            <c:strRef>
              <c:f>'Input (2) &amp; Process (1)'!$V$167</c:f>
              <c:strCache>
                <c:ptCount val="1"/>
                <c:pt idx="0">
                  <c:v>KUAT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(1)'!$V$195:$V$215</c:f>
              <c:numCache>
                <c:formatCode>0.00</c:formatCode>
                <c:ptCount val="21"/>
                <c:pt idx="0">
                  <c:v>945.40134059465515</c:v>
                </c:pt>
                <c:pt idx="1">
                  <c:v>898.28384956143168</c:v>
                </c:pt>
                <c:pt idx="2">
                  <c:v>851.16635852820821</c:v>
                </c:pt>
                <c:pt idx="3">
                  <c:v>804.04886749498473</c:v>
                </c:pt>
                <c:pt idx="4">
                  <c:v>756.93137646176137</c:v>
                </c:pt>
                <c:pt idx="5">
                  <c:v>709.81388542853779</c:v>
                </c:pt>
                <c:pt idx="6">
                  <c:v>662.69639439531443</c:v>
                </c:pt>
                <c:pt idx="7">
                  <c:v>615.57890336209095</c:v>
                </c:pt>
                <c:pt idx="8">
                  <c:v>568.46141232886748</c:v>
                </c:pt>
                <c:pt idx="9">
                  <c:v>521.34392129564412</c:v>
                </c:pt>
                <c:pt idx="10">
                  <c:v>474.22643026242054</c:v>
                </c:pt>
                <c:pt idx="11">
                  <c:v>427.10893922919706</c:v>
                </c:pt>
                <c:pt idx="12">
                  <c:v>379.99144819597359</c:v>
                </c:pt>
                <c:pt idx="13">
                  <c:v>332.87395716275012</c:v>
                </c:pt>
                <c:pt idx="14">
                  <c:v>285.75646612952664</c:v>
                </c:pt>
                <c:pt idx="15">
                  <c:v>238.6389750963032</c:v>
                </c:pt>
                <c:pt idx="16">
                  <c:v>191.52148406307975</c:v>
                </c:pt>
                <c:pt idx="17">
                  <c:v>144.40399302985628</c:v>
                </c:pt>
                <c:pt idx="18">
                  <c:v>97.286501996632822</c:v>
                </c:pt>
                <c:pt idx="19">
                  <c:v>50.169010963409356</c:v>
                </c:pt>
                <c:pt idx="20">
                  <c:v>3.0515199301858855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EE-4B20-9D03-F588137C8C2A}"/>
            </c:ext>
          </c:extLst>
        </c:ser>
        <c:ser>
          <c:idx val="2"/>
          <c:order val="2"/>
          <c:tx>
            <c:strRef>
              <c:f>'Input (2) &amp; Process (1)'!$W$167</c:f>
              <c:strCache>
                <c:ptCount val="1"/>
                <c:pt idx="0">
                  <c:v>KUAT 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(1)'!$W$195:$W$215</c:f>
              <c:numCache>
                <c:formatCode>0.00</c:formatCode>
                <c:ptCount val="21"/>
                <c:pt idx="0">
                  <c:v>828.17322505461379</c:v>
                </c:pt>
                <c:pt idx="1">
                  <c:v>786.88323402139031</c:v>
                </c:pt>
                <c:pt idx="2">
                  <c:v>745.59324298816682</c:v>
                </c:pt>
                <c:pt idx="3">
                  <c:v>704.30325195494333</c:v>
                </c:pt>
                <c:pt idx="4">
                  <c:v>663.01326092172008</c:v>
                </c:pt>
                <c:pt idx="5">
                  <c:v>621.72326988849647</c:v>
                </c:pt>
                <c:pt idx="6">
                  <c:v>580.4332788552731</c:v>
                </c:pt>
                <c:pt idx="7">
                  <c:v>539.14328782204961</c:v>
                </c:pt>
                <c:pt idx="8">
                  <c:v>497.85329678882613</c:v>
                </c:pt>
                <c:pt idx="9">
                  <c:v>456.56330575560276</c:v>
                </c:pt>
                <c:pt idx="10">
                  <c:v>415.27331472237915</c:v>
                </c:pt>
                <c:pt idx="11">
                  <c:v>373.98332368915572</c:v>
                </c:pt>
                <c:pt idx="12">
                  <c:v>332.69333265593229</c:v>
                </c:pt>
                <c:pt idx="13">
                  <c:v>291.40334162270881</c:v>
                </c:pt>
                <c:pt idx="14">
                  <c:v>250.11335058948532</c:v>
                </c:pt>
                <c:pt idx="15">
                  <c:v>208.82335955626189</c:v>
                </c:pt>
                <c:pt idx="16">
                  <c:v>167.53336852303843</c:v>
                </c:pt>
                <c:pt idx="17">
                  <c:v>126.24337748981495</c:v>
                </c:pt>
                <c:pt idx="18">
                  <c:v>84.953386456591517</c:v>
                </c:pt>
                <c:pt idx="19">
                  <c:v>43.663395423368044</c:v>
                </c:pt>
                <c:pt idx="20">
                  <c:v>2.3734043901445774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EE-4B20-9D03-F588137C8C2A}"/>
            </c:ext>
          </c:extLst>
        </c:ser>
        <c:ser>
          <c:idx val="3"/>
          <c:order val="3"/>
          <c:tx>
            <c:strRef>
              <c:f>'Input (2) &amp; Process (1)'!$X$167</c:f>
              <c:strCache>
                <c:ptCount val="1"/>
                <c:pt idx="0">
                  <c:v>KUAT 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(1)'!$X$195:$X$215</c:f>
              <c:numCache>
                <c:formatCode>0.00</c:formatCode>
                <c:ptCount val="21"/>
                <c:pt idx="0">
                  <c:v>653.81784456293008</c:v>
                </c:pt>
                <c:pt idx="1">
                  <c:v>621.1269523347836</c:v>
                </c:pt>
                <c:pt idx="2">
                  <c:v>588.43606010663711</c:v>
                </c:pt>
                <c:pt idx="3">
                  <c:v>555.74516787849052</c:v>
                </c:pt>
                <c:pt idx="4">
                  <c:v>523.05427565034415</c:v>
                </c:pt>
                <c:pt idx="5">
                  <c:v>490.36338342219756</c:v>
                </c:pt>
                <c:pt idx="6">
                  <c:v>457.67249119405108</c:v>
                </c:pt>
                <c:pt idx="7">
                  <c:v>424.9815989659046</c:v>
                </c:pt>
                <c:pt idx="8">
                  <c:v>392.29070673775806</c:v>
                </c:pt>
                <c:pt idx="9">
                  <c:v>359.59981450961163</c:v>
                </c:pt>
                <c:pt idx="10">
                  <c:v>326.90892228146504</c:v>
                </c:pt>
                <c:pt idx="11">
                  <c:v>294.21803005331856</c:v>
                </c:pt>
                <c:pt idx="12">
                  <c:v>261.52713782517208</c:v>
                </c:pt>
                <c:pt idx="13">
                  <c:v>228.83624559702554</c:v>
                </c:pt>
                <c:pt idx="14">
                  <c:v>196.14535336887903</c:v>
                </c:pt>
                <c:pt idx="15">
                  <c:v>163.45446114073252</c:v>
                </c:pt>
                <c:pt idx="16">
                  <c:v>130.76356891258604</c:v>
                </c:pt>
                <c:pt idx="17">
                  <c:v>98.072676684439514</c:v>
                </c:pt>
                <c:pt idx="18">
                  <c:v>65.381784456293019</c:v>
                </c:pt>
                <c:pt idx="19">
                  <c:v>32.69089222814651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CEE-4B20-9D03-F588137C8C2A}"/>
            </c:ext>
          </c:extLst>
        </c:ser>
        <c:ser>
          <c:idx val="4"/>
          <c:order val="4"/>
          <c:tx>
            <c:strRef>
              <c:f>'Input (2) &amp; Process (1)'!$Y$167</c:f>
              <c:strCache>
                <c:ptCount val="1"/>
                <c:pt idx="0">
                  <c:v>KUAT 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(1)'!$Y$195:$Y$215</c:f>
              <c:numCache>
                <c:formatCode>0.00</c:formatCode>
                <c:ptCount val="21"/>
                <c:pt idx="0">
                  <c:v>1033.2856000000002</c:v>
                </c:pt>
                <c:pt idx="1">
                  <c:v>981.6213200000002</c:v>
                </c:pt>
                <c:pt idx="2">
                  <c:v>929.95704000000012</c:v>
                </c:pt>
                <c:pt idx="3">
                  <c:v>878.29276000000016</c:v>
                </c:pt>
                <c:pt idx="4">
                  <c:v>826.6284800000002</c:v>
                </c:pt>
                <c:pt idx="5">
                  <c:v>774.96420000000012</c:v>
                </c:pt>
                <c:pt idx="6">
                  <c:v>723.29992000000016</c:v>
                </c:pt>
                <c:pt idx="7">
                  <c:v>671.63564000000019</c:v>
                </c:pt>
                <c:pt idx="8">
                  <c:v>619.97136000000012</c:v>
                </c:pt>
                <c:pt idx="9">
                  <c:v>568.30708000000016</c:v>
                </c:pt>
                <c:pt idx="10">
                  <c:v>516.64280000000008</c:v>
                </c:pt>
                <c:pt idx="11">
                  <c:v>464.97852000000006</c:v>
                </c:pt>
                <c:pt idx="12">
                  <c:v>413.3142400000001</c:v>
                </c:pt>
                <c:pt idx="13">
                  <c:v>361.64996000000008</c:v>
                </c:pt>
                <c:pt idx="14">
                  <c:v>309.98568000000006</c:v>
                </c:pt>
                <c:pt idx="15">
                  <c:v>258.32140000000004</c:v>
                </c:pt>
                <c:pt idx="16">
                  <c:v>206.65712000000005</c:v>
                </c:pt>
                <c:pt idx="17">
                  <c:v>154.99284000000003</c:v>
                </c:pt>
                <c:pt idx="18">
                  <c:v>103.32856000000002</c:v>
                </c:pt>
                <c:pt idx="19">
                  <c:v>51.664280000000012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CEE-4B20-9D03-F588137C8C2A}"/>
            </c:ext>
          </c:extLst>
        </c:ser>
        <c:ser>
          <c:idx val="5"/>
          <c:order val="5"/>
          <c:tx>
            <c:strRef>
              <c:f>'Input (2) &amp; Process (1)'!$Z$167</c:f>
              <c:strCache>
                <c:ptCount val="1"/>
                <c:pt idx="0">
                  <c:v>KUAT 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(1)'!$Z$195:$Z$215</c:f>
              <c:numCache>
                <c:formatCode>0.00</c:formatCode>
                <c:ptCount val="21"/>
                <c:pt idx="0">
                  <c:v>879.83165606402963</c:v>
                </c:pt>
                <c:pt idx="1">
                  <c:v>835.84007326082804</c:v>
                </c:pt>
                <c:pt idx="2">
                  <c:v>791.84849045762667</c:v>
                </c:pt>
                <c:pt idx="3">
                  <c:v>747.85690765442507</c:v>
                </c:pt>
                <c:pt idx="4">
                  <c:v>703.86532485122359</c:v>
                </c:pt>
                <c:pt idx="5">
                  <c:v>659.87374204802234</c:v>
                </c:pt>
                <c:pt idx="6">
                  <c:v>615.88215924482074</c:v>
                </c:pt>
                <c:pt idx="7">
                  <c:v>571.89057644161915</c:v>
                </c:pt>
                <c:pt idx="8">
                  <c:v>527.89899363841778</c:v>
                </c:pt>
                <c:pt idx="9">
                  <c:v>483.90741083521618</c:v>
                </c:pt>
                <c:pt idx="10">
                  <c:v>439.91582803201482</c:v>
                </c:pt>
                <c:pt idx="11">
                  <c:v>395.92424522881333</c:v>
                </c:pt>
                <c:pt idx="12">
                  <c:v>351.9326624256118</c:v>
                </c:pt>
                <c:pt idx="13">
                  <c:v>307.94107962241037</c:v>
                </c:pt>
                <c:pt idx="14">
                  <c:v>263.94949681920889</c:v>
                </c:pt>
                <c:pt idx="15">
                  <c:v>219.95791401600741</c:v>
                </c:pt>
                <c:pt idx="16">
                  <c:v>175.9663312128059</c:v>
                </c:pt>
                <c:pt idx="17">
                  <c:v>131.97474840960444</c:v>
                </c:pt>
                <c:pt idx="18">
                  <c:v>87.983165606402949</c:v>
                </c:pt>
                <c:pt idx="19">
                  <c:v>43.991582803201474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CEE-4B20-9D03-F588137C8C2A}"/>
            </c:ext>
          </c:extLst>
        </c:ser>
        <c:ser>
          <c:idx val="6"/>
          <c:order val="6"/>
          <c:tx>
            <c:strRef>
              <c:f>'Input (2) &amp; Process (1)'!$AA$167</c:f>
              <c:strCache>
                <c:ptCount val="1"/>
                <c:pt idx="0">
                  <c:v>ENVE KUAT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(1)'!$AA$195:$AA$215</c:f>
              <c:numCache>
                <c:formatCode>0.00</c:formatCode>
                <c:ptCount val="21"/>
                <c:pt idx="0">
                  <c:v>1033.2856000000002</c:v>
                </c:pt>
                <c:pt idx="1">
                  <c:v>981.6213200000002</c:v>
                </c:pt>
                <c:pt idx="2">
                  <c:v>929.95704000000012</c:v>
                </c:pt>
                <c:pt idx="3">
                  <c:v>878.29276000000016</c:v>
                </c:pt>
                <c:pt idx="4">
                  <c:v>826.6284800000002</c:v>
                </c:pt>
                <c:pt idx="5">
                  <c:v>774.96420000000012</c:v>
                </c:pt>
                <c:pt idx="6">
                  <c:v>723.29992000000016</c:v>
                </c:pt>
                <c:pt idx="7">
                  <c:v>671.63564000000019</c:v>
                </c:pt>
                <c:pt idx="8">
                  <c:v>619.97136000000012</c:v>
                </c:pt>
                <c:pt idx="9">
                  <c:v>568.30708000000016</c:v>
                </c:pt>
                <c:pt idx="10">
                  <c:v>516.64280000000008</c:v>
                </c:pt>
                <c:pt idx="11">
                  <c:v>464.97852000000006</c:v>
                </c:pt>
                <c:pt idx="12">
                  <c:v>413.3142400000001</c:v>
                </c:pt>
                <c:pt idx="13">
                  <c:v>361.64996000000008</c:v>
                </c:pt>
                <c:pt idx="14">
                  <c:v>309.98568000000006</c:v>
                </c:pt>
                <c:pt idx="15">
                  <c:v>258.32140000000004</c:v>
                </c:pt>
                <c:pt idx="16">
                  <c:v>206.65712000000005</c:v>
                </c:pt>
                <c:pt idx="17">
                  <c:v>154.99284000000003</c:v>
                </c:pt>
                <c:pt idx="18">
                  <c:v>103.32856000000002</c:v>
                </c:pt>
                <c:pt idx="19">
                  <c:v>51.664280000000012</c:v>
                </c:pt>
                <c:pt idx="20">
                  <c:v>3.0515199301858855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CEE-4B20-9D03-F588137C8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087120"/>
        <c:axId val="1878090032"/>
      </c:scatterChart>
      <c:valAx>
        <c:axId val="1878087120"/>
        <c:scaling>
          <c:orientation val="minMax"/>
          <c:max val="2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Jarak</a:t>
                </a:r>
                <a:r>
                  <a:rPr lang="en-US" b="1" baseline="0"/>
                  <a:t> dari tepi, m</a:t>
                </a:r>
                <a:endParaRPr lang="id-ID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90032"/>
        <c:crosses val="autoZero"/>
        <c:crossBetween val="midCat"/>
      </c:valAx>
      <c:valAx>
        <c:axId val="1878090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/>
                  <a:t>Gaya</a:t>
                </a:r>
                <a:r>
                  <a:rPr lang="en-US" b="1" i="0" baseline="0"/>
                  <a:t> Geser, kN</a:t>
                </a:r>
                <a:endParaRPr lang="id-ID" b="1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87120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GAYA DALAM BIDANG</a:t>
            </a:r>
            <a:r>
              <a:rPr lang="en-US" sz="1600" b="1" baseline="0"/>
              <a:t> MOMEN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'Input (2) &amp; Process (1)'!$U$167</c:f>
              <c:strCache>
                <c:ptCount val="1"/>
                <c:pt idx="0">
                  <c:v>LAYAN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(1)'!$U$169:$U$189</c:f>
              <c:numCache>
                <c:formatCode>0.00</c:formatCode>
                <c:ptCount val="21"/>
                <c:pt idx="0">
                  <c:v>0</c:v>
                </c:pt>
                <c:pt idx="1">
                  <c:v>535.86330720531771</c:v>
                </c:pt>
                <c:pt idx="2">
                  <c:v>1047.5874852642141</c:v>
                </c:pt>
                <c:pt idx="3">
                  <c:v>1535.1725341766894</c:v>
                </c:pt>
                <c:pt idx="4">
                  <c:v>1998.6184539427434</c:v>
                </c:pt>
                <c:pt idx="5">
                  <c:v>2437.9252445623756</c:v>
                </c:pt>
                <c:pt idx="6">
                  <c:v>2853.0929060355879</c:v>
                </c:pt>
                <c:pt idx="7">
                  <c:v>3244.1214383623783</c:v>
                </c:pt>
                <c:pt idx="8">
                  <c:v>3611.0108415427467</c:v>
                </c:pt>
                <c:pt idx="9">
                  <c:v>3953.7611155766945</c:v>
                </c:pt>
                <c:pt idx="10">
                  <c:v>4272.3722604642217</c:v>
                </c:pt>
                <c:pt idx="11">
                  <c:v>4566.8442762053255</c:v>
                </c:pt>
                <c:pt idx="12">
                  <c:v>4837.1771628000097</c:v>
                </c:pt>
                <c:pt idx="13">
                  <c:v>5083.3709202482723</c:v>
                </c:pt>
                <c:pt idx="14">
                  <c:v>5305.4255485501144</c:v>
                </c:pt>
                <c:pt idx="15">
                  <c:v>5503.341047705534</c:v>
                </c:pt>
                <c:pt idx="16">
                  <c:v>5677.117417714534</c:v>
                </c:pt>
                <c:pt idx="17">
                  <c:v>5826.7546585771097</c:v>
                </c:pt>
                <c:pt idx="18">
                  <c:v>5952.2527702932675</c:v>
                </c:pt>
                <c:pt idx="19">
                  <c:v>6053.6117528630029</c:v>
                </c:pt>
                <c:pt idx="20">
                  <c:v>6130.8316062863178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18-48DF-BF6C-946F824DA8D2}"/>
            </c:ext>
          </c:extLst>
        </c:ser>
        <c:ser>
          <c:idx val="1"/>
          <c:order val="1"/>
          <c:tx>
            <c:strRef>
              <c:f>'Input (2) &amp; Process (1)'!$V$167</c:f>
              <c:strCache>
                <c:ptCount val="1"/>
                <c:pt idx="0">
                  <c:v>KUAT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(1)'!$V$169:$V$189</c:f>
              <c:numCache>
                <c:formatCode>0.00</c:formatCode>
                <c:ptCount val="21"/>
                <c:pt idx="0">
                  <c:v>0</c:v>
                </c:pt>
                <c:pt idx="1">
                  <c:v>1036.0615950780434</c:v>
                </c:pt>
                <c:pt idx="2">
                  <c:v>2025.0056991228635</c:v>
                </c:pt>
                <c:pt idx="3">
                  <c:v>2966.8323121344602</c:v>
                </c:pt>
                <c:pt idx="4">
                  <c:v>3861.5414341128326</c:v>
                </c:pt>
                <c:pt idx="5">
                  <c:v>4709.1330650579821</c:v>
                </c:pt>
                <c:pt idx="6">
                  <c:v>5509.6072049699087</c:v>
                </c:pt>
                <c:pt idx="7">
                  <c:v>6262.9638538486106</c:v>
                </c:pt>
                <c:pt idx="8">
                  <c:v>6969.2030116940905</c:v>
                </c:pt>
                <c:pt idx="9">
                  <c:v>7628.3246785063466</c:v>
                </c:pt>
                <c:pt idx="10">
                  <c:v>8240.3288542853788</c:v>
                </c:pt>
                <c:pt idx="11">
                  <c:v>8805.2155390311855</c:v>
                </c:pt>
                <c:pt idx="12">
                  <c:v>9322.984732743771</c:v>
                </c:pt>
                <c:pt idx="13">
                  <c:v>9793.6364354231337</c:v>
                </c:pt>
                <c:pt idx="14">
                  <c:v>10217.170647069273</c:v>
                </c:pt>
                <c:pt idx="15">
                  <c:v>10593.587367682187</c:v>
                </c:pt>
                <c:pt idx="16">
                  <c:v>10922.886597261881</c:v>
                </c:pt>
                <c:pt idx="17">
                  <c:v>11205.068335808346</c:v>
                </c:pt>
                <c:pt idx="18">
                  <c:v>11440.132583321592</c:v>
                </c:pt>
                <c:pt idx="19">
                  <c:v>11628.079339801612</c:v>
                </c:pt>
                <c:pt idx="20">
                  <c:v>11768.908605248413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18-48DF-BF6C-946F824DA8D2}"/>
            </c:ext>
          </c:extLst>
        </c:ser>
        <c:ser>
          <c:idx val="2"/>
          <c:order val="2"/>
          <c:tx>
            <c:strRef>
              <c:f>'Input (2) &amp; Process (1)'!$W$167</c:f>
              <c:strCache>
                <c:ptCount val="1"/>
                <c:pt idx="0">
                  <c:v>KUAT 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(1)'!$W$169:$W$189</c:f>
              <c:numCache>
                <c:formatCode>0.00</c:formatCode>
                <c:ptCount val="21"/>
                <c:pt idx="0">
                  <c:v>0</c:v>
                </c:pt>
                <c:pt idx="1">
                  <c:v>896.36522953800204</c:v>
                </c:pt>
                <c:pt idx="2">
                  <c:v>1751.4404680427806</c:v>
                </c:pt>
                <c:pt idx="3">
                  <c:v>2565.2257155143361</c:v>
                </c:pt>
                <c:pt idx="4">
                  <c:v>3337.7209719526672</c:v>
                </c:pt>
                <c:pt idx="5">
                  <c:v>4068.9262373577758</c:v>
                </c:pt>
                <c:pt idx="6">
                  <c:v>4758.8415117296609</c:v>
                </c:pt>
                <c:pt idx="7">
                  <c:v>5407.4667950683215</c:v>
                </c:pt>
                <c:pt idx="8">
                  <c:v>6014.8020873737605</c:v>
                </c:pt>
                <c:pt idx="9">
                  <c:v>6580.8473886459742</c:v>
                </c:pt>
                <c:pt idx="10">
                  <c:v>7105.6026988849653</c:v>
                </c:pt>
                <c:pt idx="11">
                  <c:v>7589.0680180907311</c:v>
                </c:pt>
                <c:pt idx="12">
                  <c:v>8031.2433462632753</c:v>
                </c:pt>
                <c:pt idx="13">
                  <c:v>8432.1286834025959</c:v>
                </c:pt>
                <c:pt idx="14">
                  <c:v>8791.724029508694</c:v>
                </c:pt>
                <c:pt idx="15">
                  <c:v>9110.0293845815668</c:v>
                </c:pt>
                <c:pt idx="16">
                  <c:v>9387.0447486212179</c:v>
                </c:pt>
                <c:pt idx="17">
                  <c:v>9622.7701216276437</c:v>
                </c:pt>
                <c:pt idx="18">
                  <c:v>9817.2055036008478</c:v>
                </c:pt>
                <c:pt idx="19">
                  <c:v>9970.3508945408266</c:v>
                </c:pt>
                <c:pt idx="20">
                  <c:v>10082.206294447586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18-48DF-BF6C-946F824DA8D2}"/>
            </c:ext>
          </c:extLst>
        </c:ser>
        <c:ser>
          <c:idx val="3"/>
          <c:order val="3"/>
          <c:tx>
            <c:strRef>
              <c:f>'Input (2) &amp; Process (1)'!$X$167</c:f>
              <c:strCache>
                <c:ptCount val="1"/>
                <c:pt idx="0">
                  <c:v>KUAT 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(1)'!$X$169:$X$189</c:f>
              <c:numCache>
                <c:formatCode>0.00</c:formatCode>
                <c:ptCount val="21"/>
                <c:pt idx="0">
                  <c:v>0</c:v>
                </c:pt>
                <c:pt idx="1">
                  <c:v>637.47239844885689</c:v>
                </c:pt>
                <c:pt idx="2">
                  <c:v>1242.2539046695672</c:v>
                </c:pt>
                <c:pt idx="3">
                  <c:v>1814.3445186621311</c:v>
                </c:pt>
                <c:pt idx="4">
                  <c:v>2353.7442404265485</c:v>
                </c:pt>
                <c:pt idx="5">
                  <c:v>2860.4530699628194</c:v>
                </c:pt>
                <c:pt idx="6">
                  <c:v>3334.4710072709436</c:v>
                </c:pt>
                <c:pt idx="7">
                  <c:v>3775.7980523509209</c:v>
                </c:pt>
                <c:pt idx="8">
                  <c:v>4184.4342052027532</c:v>
                </c:pt>
                <c:pt idx="9">
                  <c:v>4560.3794658264378</c:v>
                </c:pt>
                <c:pt idx="10">
                  <c:v>4903.633834221976</c:v>
                </c:pt>
                <c:pt idx="11">
                  <c:v>5214.197310389367</c:v>
                </c:pt>
                <c:pt idx="12">
                  <c:v>5492.0698943286116</c:v>
                </c:pt>
                <c:pt idx="13">
                  <c:v>5737.2515860397125</c:v>
                </c:pt>
                <c:pt idx="14">
                  <c:v>5949.7423855226643</c:v>
                </c:pt>
                <c:pt idx="15">
                  <c:v>6129.5422927774689</c:v>
                </c:pt>
                <c:pt idx="16">
                  <c:v>6276.6513078041289</c:v>
                </c:pt>
                <c:pt idx="17">
                  <c:v>6391.0694306026417</c:v>
                </c:pt>
                <c:pt idx="18">
                  <c:v>6472.796661173008</c:v>
                </c:pt>
                <c:pt idx="19">
                  <c:v>6521.8329995152271</c:v>
                </c:pt>
                <c:pt idx="20">
                  <c:v>6538.1784456293026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F18-48DF-BF6C-946F824DA8D2}"/>
            </c:ext>
          </c:extLst>
        </c:ser>
        <c:ser>
          <c:idx val="4"/>
          <c:order val="4"/>
          <c:tx>
            <c:strRef>
              <c:f>'Input (2) &amp; Process (1)'!$Y$167</c:f>
              <c:strCache>
                <c:ptCount val="1"/>
                <c:pt idx="0">
                  <c:v>KUAT 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(1)'!$Y$169:$Y$189</c:f>
              <c:numCache>
                <c:formatCode>0.00</c:formatCode>
                <c:ptCount val="21"/>
                <c:pt idx="0">
                  <c:v>0</c:v>
                </c:pt>
                <c:pt idx="1">
                  <c:v>1007.4534600000002</c:v>
                </c:pt>
                <c:pt idx="2">
                  <c:v>1963.2426400000004</c:v>
                </c:pt>
                <c:pt idx="3">
                  <c:v>2867.3675400000006</c:v>
                </c:pt>
                <c:pt idx="4">
                  <c:v>3719.8281600000005</c:v>
                </c:pt>
                <c:pt idx="5">
                  <c:v>4520.6245000000008</c:v>
                </c:pt>
                <c:pt idx="6">
                  <c:v>5269.7565600000007</c:v>
                </c:pt>
                <c:pt idx="7">
                  <c:v>5967.2243400000007</c:v>
                </c:pt>
                <c:pt idx="8">
                  <c:v>6613.0278400000016</c:v>
                </c:pt>
                <c:pt idx="9">
                  <c:v>7207.1670600000016</c:v>
                </c:pt>
                <c:pt idx="10">
                  <c:v>7749.6420000000016</c:v>
                </c:pt>
                <c:pt idx="11">
                  <c:v>8240.4526600000008</c:v>
                </c:pt>
                <c:pt idx="12">
                  <c:v>8679.599040000001</c:v>
                </c:pt>
                <c:pt idx="13">
                  <c:v>9067.0811400000021</c:v>
                </c:pt>
                <c:pt idx="14">
                  <c:v>9402.8989600000023</c:v>
                </c:pt>
                <c:pt idx="15">
                  <c:v>9687.0525000000016</c:v>
                </c:pt>
                <c:pt idx="16">
                  <c:v>9919.5417600000019</c:v>
                </c:pt>
                <c:pt idx="17">
                  <c:v>10100.366740000001</c:v>
                </c:pt>
                <c:pt idx="18">
                  <c:v>10229.527440000002</c:v>
                </c:pt>
                <c:pt idx="19">
                  <c:v>10307.023860000001</c:v>
                </c:pt>
                <c:pt idx="20">
                  <c:v>10332.856000000003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F18-48DF-BF6C-946F824DA8D2}"/>
            </c:ext>
          </c:extLst>
        </c:ser>
        <c:ser>
          <c:idx val="5"/>
          <c:order val="5"/>
          <c:tx>
            <c:strRef>
              <c:f>'Input (2) &amp; Process (1)'!$Z$167</c:f>
              <c:strCache>
                <c:ptCount val="1"/>
                <c:pt idx="0">
                  <c:v>KUAT 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(1)'!$Z$169:$Z$189</c:f>
              <c:numCache>
                <c:formatCode>0.00</c:formatCode>
                <c:ptCount val="21"/>
                <c:pt idx="0">
                  <c:v>0</c:v>
                </c:pt>
                <c:pt idx="1">
                  <c:v>487.79664966242871</c:v>
                </c:pt>
                <c:pt idx="2">
                  <c:v>950.57808652165591</c:v>
                </c:pt>
                <c:pt idx="3">
                  <c:v>1388.3443105776821</c:v>
                </c:pt>
                <c:pt idx="4">
                  <c:v>1801.095321830506</c:v>
                </c:pt>
                <c:pt idx="5">
                  <c:v>2188.8311202801287</c:v>
                </c:pt>
                <c:pt idx="6">
                  <c:v>2551.5517059265503</c:v>
                </c:pt>
                <c:pt idx="7">
                  <c:v>2889.25707876977</c:v>
                </c:pt>
                <c:pt idx="8">
                  <c:v>3201.9472388097893</c:v>
                </c:pt>
                <c:pt idx="9">
                  <c:v>3489.6221860466057</c:v>
                </c:pt>
                <c:pt idx="10">
                  <c:v>3752.2819204802213</c:v>
                </c:pt>
                <c:pt idx="11">
                  <c:v>3989.9264421106341</c:v>
                </c:pt>
                <c:pt idx="12">
                  <c:v>4202.5557509378468</c:v>
                </c:pt>
                <c:pt idx="13">
                  <c:v>4390.1698469618586</c:v>
                </c:pt>
                <c:pt idx="14">
                  <c:v>4552.7687301826691</c:v>
                </c:pt>
                <c:pt idx="15">
                  <c:v>4690.3524006002763</c:v>
                </c:pt>
                <c:pt idx="16">
                  <c:v>4802.920858214683</c:v>
                </c:pt>
                <c:pt idx="17">
                  <c:v>4890.4741030258874</c:v>
                </c:pt>
                <c:pt idx="18">
                  <c:v>4953.0121350338923</c:v>
                </c:pt>
                <c:pt idx="19">
                  <c:v>4990.5349542386939</c:v>
                </c:pt>
                <c:pt idx="20">
                  <c:v>5003.0425606402969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18-48DF-BF6C-946F824DA8D2}"/>
            </c:ext>
          </c:extLst>
        </c:ser>
        <c:ser>
          <c:idx val="6"/>
          <c:order val="6"/>
          <c:tx>
            <c:strRef>
              <c:f>'Input (2) &amp; Process (1)'!$AA$167</c:f>
              <c:strCache>
                <c:ptCount val="1"/>
                <c:pt idx="0">
                  <c:v>ENVE KUAT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(1)'!$AA$169:$AA$189</c:f>
              <c:numCache>
                <c:formatCode>0.00</c:formatCode>
                <c:ptCount val="21"/>
                <c:pt idx="0">
                  <c:v>0</c:v>
                </c:pt>
                <c:pt idx="1">
                  <c:v>1036.0615950780434</c:v>
                </c:pt>
                <c:pt idx="2">
                  <c:v>2025.0056991228635</c:v>
                </c:pt>
                <c:pt idx="3">
                  <c:v>2966.8323121344602</c:v>
                </c:pt>
                <c:pt idx="4">
                  <c:v>3861.5414341128326</c:v>
                </c:pt>
                <c:pt idx="5">
                  <c:v>4709.1330650579821</c:v>
                </c:pt>
                <c:pt idx="6">
                  <c:v>5509.6072049699087</c:v>
                </c:pt>
                <c:pt idx="7">
                  <c:v>6262.9638538486106</c:v>
                </c:pt>
                <c:pt idx="8">
                  <c:v>6969.2030116940905</c:v>
                </c:pt>
                <c:pt idx="9">
                  <c:v>7628.3246785063466</c:v>
                </c:pt>
                <c:pt idx="10">
                  <c:v>8240.3288542853788</c:v>
                </c:pt>
                <c:pt idx="11">
                  <c:v>8805.2155390311855</c:v>
                </c:pt>
                <c:pt idx="12">
                  <c:v>9322.984732743771</c:v>
                </c:pt>
                <c:pt idx="13">
                  <c:v>9793.6364354231337</c:v>
                </c:pt>
                <c:pt idx="14">
                  <c:v>10217.170647069273</c:v>
                </c:pt>
                <c:pt idx="15">
                  <c:v>10593.587367682187</c:v>
                </c:pt>
                <c:pt idx="16">
                  <c:v>10922.886597261881</c:v>
                </c:pt>
                <c:pt idx="17">
                  <c:v>11205.068335808346</c:v>
                </c:pt>
                <c:pt idx="18">
                  <c:v>11440.132583321592</c:v>
                </c:pt>
                <c:pt idx="19">
                  <c:v>11628.079339801612</c:v>
                </c:pt>
                <c:pt idx="20">
                  <c:v>11768.908605248413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F18-48DF-BF6C-946F824DA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087120"/>
        <c:axId val="1878090032"/>
      </c:scatterChart>
      <c:valAx>
        <c:axId val="1878087120"/>
        <c:scaling>
          <c:orientation val="minMax"/>
          <c:max val="2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Jarak</a:t>
                </a:r>
                <a:r>
                  <a:rPr lang="en-US" b="1" baseline="0"/>
                  <a:t> dari tepi, m</a:t>
                </a:r>
                <a:endParaRPr lang="id-ID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90032"/>
        <c:crosses val="autoZero"/>
        <c:crossBetween val="midCat"/>
      </c:valAx>
      <c:valAx>
        <c:axId val="1878090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/>
                  <a:t>Gaya</a:t>
                </a:r>
                <a:r>
                  <a:rPr lang="en-US" b="1" i="0" baseline="0"/>
                  <a:t> Momen, kN.m</a:t>
                </a:r>
                <a:endParaRPr lang="id-ID" b="1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87120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FF-4F50-8CD3-3D40F84468C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Tabel!$I$35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Tabel!$J$35</c:f>
              <c:numCache>
                <c:formatCode>0.00</c:formatCode>
                <c:ptCount val="1"/>
                <c:pt idx="0">
                  <c:v>32.857142857142854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FF-4F50-8CD3-3D40F84468C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Tabel!$I$36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Tabel!$J$36</c:f>
              <c:numCache>
                <c:formatCode>0.00</c:formatCode>
                <c:ptCount val="1"/>
                <c:pt idx="0">
                  <c:v>12.380952380952381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FF-4F50-8CD3-3D40F84468C6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Tabel!$I$37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Tabel!$J$37</c:f>
              <c:numCache>
                <c:formatCode>0.00</c:formatCode>
                <c:ptCount val="1"/>
                <c:pt idx="0">
                  <c:v>-8.0952380952380967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FFF-4F50-8CD3-3D40F84468C6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Tabel!$I$38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Tabel!$J$38</c:f>
              <c:numCache>
                <c:formatCode>0.00</c:formatCode>
                <c:ptCount val="1"/>
                <c:pt idx="0">
                  <c:v>-28.571428571428577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FFF-4F50-8CD3-3D40F84468C6}"/>
            </c:ext>
          </c:extLst>
        </c:ser>
        <c:ser>
          <c:idx val="5"/>
          <c:order val="5"/>
          <c:tx>
            <c:v>dalam kiri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FFF-4F50-8CD3-3D40F84468C6}"/>
            </c:ext>
          </c:extLst>
        </c:ser>
        <c:ser>
          <c:idx val="6"/>
          <c:order val="6"/>
          <c:tx>
            <c:v>dalam kanan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FFF-4F50-8CD3-3D40F8446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2E-4D86-8811-8C77457E3D72}"/>
            </c:ext>
          </c:extLst>
        </c:ser>
        <c:ser>
          <c:idx val="1"/>
          <c:order val="1"/>
          <c:tx>
            <c:v>Tendon 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Tabel!$I$41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Tabel!$J$41</c:f>
              <c:numCache>
                <c:formatCode>0.00</c:formatCode>
                <c:ptCount val="1"/>
                <c:pt idx="0">
                  <c:v>-30.476190476190478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2E-4D86-8811-8C77457E3D72}"/>
            </c:ext>
          </c:extLst>
        </c:ser>
        <c:ser>
          <c:idx val="2"/>
          <c:order val="2"/>
          <c:tx>
            <c:v>Tendon B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Tabel!$I$42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Tabel!$J$42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32E-4D86-8811-8C77457E3D72}"/>
            </c:ext>
          </c:extLst>
        </c:ser>
        <c:ser>
          <c:idx val="3"/>
          <c:order val="3"/>
          <c:tx>
            <c:v>Tendon 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Tabel!$I$43</c:f>
              <c:numCache>
                <c:formatCode>0.00</c:formatCode>
                <c:ptCount val="1"/>
                <c:pt idx="0">
                  <c:v>9.5238095238095237</c:v>
                </c:pt>
              </c:numCache>
            </c:numRef>
          </c:xVal>
          <c:yVal>
            <c:numRef>
              <c:f>Tabel!$J$43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32E-4D86-8811-8C77457E3D72}"/>
            </c:ext>
          </c:extLst>
        </c:ser>
        <c:ser>
          <c:idx val="4"/>
          <c:order val="4"/>
          <c:tx>
            <c:v>Tendon 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Tabel!$I$44</c:f>
              <c:numCache>
                <c:formatCode>0.00</c:formatCode>
                <c:ptCount val="1"/>
                <c:pt idx="0">
                  <c:v>-9.5238095238095237</c:v>
                </c:pt>
              </c:numCache>
            </c:numRef>
          </c:xVal>
          <c:yVal>
            <c:numRef>
              <c:f>Tabel!$J$44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32E-4D86-8811-8C77457E3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/>
              <a:t>Trace Masing-masing Cable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'Process (3)'!$F$31</c:f>
              <c:strCache>
                <c:ptCount val="1"/>
                <c:pt idx="0">
                  <c:v>Tendon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(3)'!$P$36:$P$56</c:f>
              <c:numCache>
                <c:formatCode>0.000</c:formatCode>
                <c:ptCount val="21"/>
                <c:pt idx="0">
                  <c:v>1.74</c:v>
                </c:pt>
                <c:pt idx="1">
                  <c:v>1.610325</c:v>
                </c:pt>
                <c:pt idx="2">
                  <c:v>1.4872999999999998</c:v>
                </c:pt>
                <c:pt idx="3">
                  <c:v>1.3709249999999999</c:v>
                </c:pt>
                <c:pt idx="4">
                  <c:v>1.2611999999999999</c:v>
                </c:pt>
                <c:pt idx="5">
                  <c:v>1.1581250000000001</c:v>
                </c:pt>
                <c:pt idx="6">
                  <c:v>1.0616999999999999</c:v>
                </c:pt>
                <c:pt idx="7">
                  <c:v>0.97192499999999993</c:v>
                </c:pt>
                <c:pt idx="8">
                  <c:v>0.88879999999999992</c:v>
                </c:pt>
                <c:pt idx="9">
                  <c:v>0.81232499999999996</c:v>
                </c:pt>
                <c:pt idx="10">
                  <c:v>0.74249999999999994</c:v>
                </c:pt>
                <c:pt idx="11">
                  <c:v>0.67932499999999996</c:v>
                </c:pt>
                <c:pt idx="12">
                  <c:v>0.6227999999999998</c:v>
                </c:pt>
                <c:pt idx="13">
                  <c:v>0.57292499999999991</c:v>
                </c:pt>
                <c:pt idx="14">
                  <c:v>0.52970000000000006</c:v>
                </c:pt>
                <c:pt idx="15">
                  <c:v>0.49312499999999981</c:v>
                </c:pt>
                <c:pt idx="16">
                  <c:v>0.46319999999999983</c:v>
                </c:pt>
                <c:pt idx="17">
                  <c:v>0.43992500000000012</c:v>
                </c:pt>
                <c:pt idx="18">
                  <c:v>0.42330000000000001</c:v>
                </c:pt>
                <c:pt idx="19">
                  <c:v>0.41332499999999972</c:v>
                </c:pt>
                <c:pt idx="20">
                  <c:v>0.40999999999999992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44-4478-85FC-06332D4A3024}"/>
            </c:ext>
          </c:extLst>
        </c:ser>
        <c:ser>
          <c:idx val="1"/>
          <c:order val="1"/>
          <c:tx>
            <c:strRef>
              <c:f>'Process (3)'!$F$32</c:f>
              <c:strCache>
                <c:ptCount val="1"/>
                <c:pt idx="0">
                  <c:v>Tendon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(3)'!$Q$36:$Q$56</c:f>
              <c:numCache>
                <c:formatCode>0.000</c:formatCode>
                <c:ptCount val="21"/>
                <c:pt idx="0">
                  <c:v>1.31</c:v>
                </c:pt>
                <c:pt idx="1">
                  <c:v>1.197875</c:v>
                </c:pt>
                <c:pt idx="2">
                  <c:v>1.0914999999999999</c:v>
                </c:pt>
                <c:pt idx="3">
                  <c:v>0.99087499999999995</c:v>
                </c:pt>
                <c:pt idx="4">
                  <c:v>0.89600000000000002</c:v>
                </c:pt>
                <c:pt idx="5">
                  <c:v>0.80687500000000001</c:v>
                </c:pt>
                <c:pt idx="6">
                  <c:v>0.72350000000000003</c:v>
                </c:pt>
                <c:pt idx="7">
                  <c:v>0.64587500000000009</c:v>
                </c:pt>
                <c:pt idx="8">
                  <c:v>0.57399999999999995</c:v>
                </c:pt>
                <c:pt idx="9">
                  <c:v>0.50787499999999997</c:v>
                </c:pt>
                <c:pt idx="10">
                  <c:v>0.4474999999999999</c:v>
                </c:pt>
                <c:pt idx="11">
                  <c:v>0.39287499999999986</c:v>
                </c:pt>
                <c:pt idx="12">
                  <c:v>0.34399999999999997</c:v>
                </c:pt>
                <c:pt idx="13">
                  <c:v>0.300875</c:v>
                </c:pt>
                <c:pt idx="14">
                  <c:v>0.26350000000000007</c:v>
                </c:pt>
                <c:pt idx="15">
                  <c:v>0.23187499999999983</c:v>
                </c:pt>
                <c:pt idx="16">
                  <c:v>0.20599999999999996</c:v>
                </c:pt>
                <c:pt idx="17">
                  <c:v>0.18587500000000001</c:v>
                </c:pt>
                <c:pt idx="18">
                  <c:v>0.17149999999999999</c:v>
                </c:pt>
                <c:pt idx="19">
                  <c:v>0.16287499999999988</c:v>
                </c:pt>
                <c:pt idx="20">
                  <c:v>0.15999999999999992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44-4478-85FC-06332D4A3024}"/>
            </c:ext>
          </c:extLst>
        </c:ser>
        <c:ser>
          <c:idx val="2"/>
          <c:order val="2"/>
          <c:tx>
            <c:strRef>
              <c:f>'Process (3)'!$F$33</c:f>
              <c:strCache>
                <c:ptCount val="1"/>
                <c:pt idx="0">
                  <c:v>Tendon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(3)'!$R$36:$R$56</c:f>
              <c:numCache>
                <c:formatCode>0.000</c:formatCode>
                <c:ptCount val="21"/>
                <c:pt idx="0">
                  <c:v>0.88</c:v>
                </c:pt>
                <c:pt idx="1">
                  <c:v>0.80979999999999996</c:v>
                </c:pt>
                <c:pt idx="2">
                  <c:v>0.74319999999999997</c:v>
                </c:pt>
                <c:pt idx="3">
                  <c:v>0.68020000000000003</c:v>
                </c:pt>
                <c:pt idx="4">
                  <c:v>0.62080000000000002</c:v>
                </c:pt>
                <c:pt idx="5">
                  <c:v>0.56499999999999995</c:v>
                </c:pt>
                <c:pt idx="6">
                  <c:v>0.51279999999999992</c:v>
                </c:pt>
                <c:pt idx="7">
                  <c:v>0.4642</c:v>
                </c:pt>
                <c:pt idx="8">
                  <c:v>0.41920000000000002</c:v>
                </c:pt>
                <c:pt idx="9">
                  <c:v>0.37780000000000002</c:v>
                </c:pt>
                <c:pt idx="10">
                  <c:v>0.34000000000000008</c:v>
                </c:pt>
                <c:pt idx="11">
                  <c:v>0.30580000000000007</c:v>
                </c:pt>
                <c:pt idx="12">
                  <c:v>0.2752</c:v>
                </c:pt>
                <c:pt idx="13">
                  <c:v>0.24820000000000009</c:v>
                </c:pt>
                <c:pt idx="14">
                  <c:v>0.2248</c:v>
                </c:pt>
                <c:pt idx="15">
                  <c:v>0.20500000000000007</c:v>
                </c:pt>
                <c:pt idx="16">
                  <c:v>0.18879999999999997</c:v>
                </c:pt>
                <c:pt idx="17">
                  <c:v>0.17619999999999991</c:v>
                </c:pt>
                <c:pt idx="18">
                  <c:v>0.16720000000000002</c:v>
                </c:pt>
                <c:pt idx="19">
                  <c:v>0.16179999999999994</c:v>
                </c:pt>
                <c:pt idx="20">
                  <c:v>0.16000000000000003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44-4478-85FC-06332D4A3024}"/>
            </c:ext>
          </c:extLst>
        </c:ser>
        <c:ser>
          <c:idx val="3"/>
          <c:order val="3"/>
          <c:tx>
            <c:strRef>
              <c:f>'Process (3)'!$F$34</c:f>
              <c:strCache>
                <c:ptCount val="1"/>
                <c:pt idx="0">
                  <c:v>Tendon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(3)'!$S$36:$S$56</c:f>
              <c:numCache>
                <c:formatCode>0.000</c:formatCode>
                <c:ptCount val="21"/>
                <c:pt idx="0">
                  <c:v>0.45</c:v>
                </c:pt>
                <c:pt idx="1">
                  <c:v>0.42172500000000002</c:v>
                </c:pt>
                <c:pt idx="2">
                  <c:v>0.39490000000000003</c:v>
                </c:pt>
                <c:pt idx="3">
                  <c:v>0.36952499999999999</c:v>
                </c:pt>
                <c:pt idx="4">
                  <c:v>0.34560000000000002</c:v>
                </c:pt>
                <c:pt idx="5">
                  <c:v>0.323125</c:v>
                </c:pt>
                <c:pt idx="6">
                  <c:v>0.30209999999999998</c:v>
                </c:pt>
                <c:pt idx="7">
                  <c:v>0.28252500000000003</c:v>
                </c:pt>
                <c:pt idx="8">
                  <c:v>0.26439999999999997</c:v>
                </c:pt>
                <c:pt idx="9">
                  <c:v>0.247725</c:v>
                </c:pt>
                <c:pt idx="10">
                  <c:v>0.23249999999999998</c:v>
                </c:pt>
                <c:pt idx="11">
                  <c:v>0.21872499999999997</c:v>
                </c:pt>
                <c:pt idx="12">
                  <c:v>0.20639999999999997</c:v>
                </c:pt>
                <c:pt idx="13">
                  <c:v>0.195525</c:v>
                </c:pt>
                <c:pt idx="14">
                  <c:v>0.18609999999999999</c:v>
                </c:pt>
                <c:pt idx="15">
                  <c:v>0.17812499999999998</c:v>
                </c:pt>
                <c:pt idx="16">
                  <c:v>0.17159999999999997</c:v>
                </c:pt>
                <c:pt idx="17">
                  <c:v>0.16652499999999998</c:v>
                </c:pt>
                <c:pt idx="18">
                  <c:v>0.16289999999999999</c:v>
                </c:pt>
                <c:pt idx="19">
                  <c:v>0.16072499999999995</c:v>
                </c:pt>
                <c:pt idx="20">
                  <c:v>0.15999999999999998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44-4478-85FC-06332D4A3024}"/>
            </c:ext>
          </c:extLst>
        </c:ser>
        <c:ser>
          <c:idx val="4"/>
          <c:order val="4"/>
          <c:tx>
            <c:strRef>
              <c:f>'Process (3)'!$T$34</c:f>
              <c:strCache>
                <c:ptCount val="1"/>
                <c:pt idx="0">
                  <c:v>etop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(3)'!$T$36:$T$56</c:f>
              <c:numCache>
                <c:formatCode>0.000</c:formatCode>
                <c:ptCount val="21"/>
                <c:pt idx="0">
                  <c:v>1.5557482865713519</c:v>
                </c:pt>
                <c:pt idx="1">
                  <c:v>1.5132689357385329</c:v>
                </c:pt>
                <c:pt idx="2">
                  <c:v>1.4729680131535507</c:v>
                </c:pt>
                <c:pt idx="3">
                  <c:v>1.4348455188164055</c:v>
                </c:pt>
                <c:pt idx="4">
                  <c:v>1.3989014527270971</c:v>
                </c:pt>
                <c:pt idx="5">
                  <c:v>1.3651358148856256</c:v>
                </c:pt>
                <c:pt idx="6">
                  <c:v>1.3335486052919907</c:v>
                </c:pt>
                <c:pt idx="7">
                  <c:v>1.304139823946193</c:v>
                </c:pt>
                <c:pt idx="8">
                  <c:v>1.276909470848232</c:v>
                </c:pt>
                <c:pt idx="9">
                  <c:v>1.2518575459981081</c:v>
                </c:pt>
                <c:pt idx="10">
                  <c:v>1.2289840493958208</c:v>
                </c:pt>
                <c:pt idx="11">
                  <c:v>1.2082889810413706</c:v>
                </c:pt>
                <c:pt idx="12">
                  <c:v>1.1897723409347571</c:v>
                </c:pt>
                <c:pt idx="13">
                  <c:v>1.1734341290759807</c:v>
                </c:pt>
                <c:pt idx="14">
                  <c:v>1.1592743454650409</c:v>
                </c:pt>
                <c:pt idx="15">
                  <c:v>1.1472929901019382</c:v>
                </c:pt>
                <c:pt idx="16">
                  <c:v>1.1374900629866722</c:v>
                </c:pt>
                <c:pt idx="17">
                  <c:v>1.1298655641192432</c:v>
                </c:pt>
                <c:pt idx="18">
                  <c:v>1.124419493499651</c:v>
                </c:pt>
                <c:pt idx="19">
                  <c:v>1.1211518511278957</c:v>
                </c:pt>
                <c:pt idx="20">
                  <c:v>1.1200626370039772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B3-4079-9A5B-3C4131C4CD66}"/>
            </c:ext>
          </c:extLst>
        </c:ser>
        <c:ser>
          <c:idx val="5"/>
          <c:order val="5"/>
          <c:tx>
            <c:strRef>
              <c:f>'Process (3)'!$U$34</c:f>
              <c:strCache>
                <c:ptCount val="1"/>
                <c:pt idx="0">
                  <c:v>ebtm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(3)'!$U$36:$U$56</c:f>
              <c:numCache>
                <c:formatCode>0.000</c:formatCode>
                <c:ptCount val="21"/>
                <c:pt idx="0">
                  <c:v>0.50576415928601548</c:v>
                </c:pt>
                <c:pt idx="1">
                  <c:v>0.47022077538355345</c:v>
                </c:pt>
                <c:pt idx="2">
                  <c:v>0.43650012911711517</c:v>
                </c:pt>
                <c:pt idx="3">
                  <c:v>0.40460222048670053</c:v>
                </c:pt>
                <c:pt idx="4">
                  <c:v>0.37452704949230958</c:v>
                </c:pt>
                <c:pt idx="5">
                  <c:v>0.34627461613394234</c:v>
                </c:pt>
                <c:pt idx="6">
                  <c:v>0.31984492041159884</c:v>
                </c:pt>
                <c:pt idx="7">
                  <c:v>0.29523796232527899</c:v>
                </c:pt>
                <c:pt idx="8">
                  <c:v>0.27245374187498284</c:v>
                </c:pt>
                <c:pt idx="9">
                  <c:v>0.25149225906071032</c:v>
                </c:pt>
                <c:pt idx="10">
                  <c:v>0.23235351388246156</c:v>
                </c:pt>
                <c:pt idx="11">
                  <c:v>0.2150375063402365</c:v>
                </c:pt>
                <c:pt idx="12">
                  <c:v>0.19954423643403507</c:v>
                </c:pt>
                <c:pt idx="13">
                  <c:v>0.1858737041638574</c:v>
                </c:pt>
                <c:pt idx="14">
                  <c:v>0.17402590952970337</c:v>
                </c:pt>
                <c:pt idx="15">
                  <c:v>0.16400085253157304</c:v>
                </c:pt>
                <c:pt idx="16">
                  <c:v>0.15579853316946646</c:v>
                </c:pt>
                <c:pt idx="17">
                  <c:v>0.14941895144338352</c:v>
                </c:pt>
                <c:pt idx="18">
                  <c:v>0.14486210735332428</c:v>
                </c:pt>
                <c:pt idx="19">
                  <c:v>0.14212800089928873</c:v>
                </c:pt>
                <c:pt idx="20">
                  <c:v>0.14121663208127688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B3-4079-9A5B-3C4131C4CD66}"/>
            </c:ext>
          </c:extLst>
        </c:ser>
        <c:ser>
          <c:idx val="6"/>
          <c:order val="6"/>
          <c:tx>
            <c:v>Lintasan Inti Tendon</c:v>
          </c:tx>
          <c:spPr>
            <a:ln w="12700" cap="rnd" cmpd="sng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(3)'!$O$36:$O$56</c:f>
              <c:numCache>
                <c:formatCode>0.000</c:formatCode>
                <c:ptCount val="21"/>
                <c:pt idx="0">
                  <c:v>1.0119504630245026</c:v>
                </c:pt>
                <c:pt idx="1">
                  <c:v>0.93278529287961365</c:v>
                </c:pt>
                <c:pt idx="2">
                  <c:v>0.85767987504984711</c:v>
                </c:pt>
                <c:pt idx="3">
                  <c:v>0.78663420953520313</c:v>
                </c:pt>
                <c:pt idx="4">
                  <c:v>0.71964829633568161</c:v>
                </c:pt>
                <c:pt idx="5">
                  <c:v>0.65672213545128266</c:v>
                </c:pt>
                <c:pt idx="6">
                  <c:v>0.59785572688200628</c:v>
                </c:pt>
                <c:pt idx="7">
                  <c:v>0.54304907062785235</c:v>
                </c:pt>
                <c:pt idx="8">
                  <c:v>0.49230216668882087</c:v>
                </c:pt>
                <c:pt idx="9">
                  <c:v>0.44561501506491197</c:v>
                </c:pt>
                <c:pt idx="10">
                  <c:v>0.40298761575612563</c:v>
                </c:pt>
                <c:pt idx="11">
                  <c:v>0.36441996876246174</c:v>
                </c:pt>
                <c:pt idx="12">
                  <c:v>0.32991207408392031</c:v>
                </c:pt>
                <c:pt idx="13">
                  <c:v>0.29946393172050156</c:v>
                </c:pt>
                <c:pt idx="14">
                  <c:v>0.27307554167220527</c:v>
                </c:pt>
                <c:pt idx="15">
                  <c:v>0.25074690393903132</c:v>
                </c:pt>
                <c:pt idx="16">
                  <c:v>0.23247801852098005</c:v>
                </c:pt>
                <c:pt idx="17">
                  <c:v>0.21826888541805134</c:v>
                </c:pt>
                <c:pt idx="18">
                  <c:v>0.20811950463024498</c:v>
                </c:pt>
                <c:pt idx="19">
                  <c:v>0.20202987615756118</c:v>
                </c:pt>
                <c:pt idx="20">
                  <c:v>0.19999999999999996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6B3-4079-9A5B-3C4131C4C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677448"/>
        <c:axId val="386678432"/>
      </c:scatterChart>
      <c:valAx>
        <c:axId val="386677448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Panjang Bentang PC I Girder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78432"/>
        <c:crosses val="autoZero"/>
        <c:crossBetween val="midCat"/>
        <c:majorUnit val="1"/>
      </c:valAx>
      <c:valAx>
        <c:axId val="386678432"/>
        <c:scaling>
          <c:orientation val="minMax"/>
          <c:max val="2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77448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 Kehilangan Gaya</a:t>
            </a:r>
            <a:r>
              <a:rPr lang="en-ID" baseline="0"/>
              <a:t> Prategang</a:t>
            </a:r>
            <a:endParaRPr lang="en-ID"/>
          </a:p>
        </c:rich>
      </c:tx>
      <c:layout>
        <c:manualLayout>
          <c:xMode val="edge"/>
          <c:yMode val="edge"/>
          <c:x val="0.22693744531933507"/>
          <c:y val="2.9931972789115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72003499562555"/>
          <c:y val="0.13629931972789117"/>
          <c:w val="0.76172440944881892"/>
          <c:h val="0.83376870748299325"/>
        </c:manualLayout>
      </c:layout>
      <c:scatterChart>
        <c:scatterStyle val="lineMarker"/>
        <c:varyColors val="0"/>
        <c:ser>
          <c:idx val="1"/>
          <c:order val="0"/>
          <c:tx>
            <c:v>Grafik kehilangan gaya prategang</c:v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'Input (3) &amp; Process (4)'!$J$123:$J$127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'Input (3) &amp; Process (4)'!$H$123:$H$127</c:f>
              <c:numCache>
                <c:formatCode>0.000</c:formatCode>
                <c:ptCount val="5"/>
                <c:pt idx="0">
                  <c:v>9905.5396910481722</c:v>
                </c:pt>
                <c:pt idx="1">
                  <c:v>9608.3735003167276</c:v>
                </c:pt>
                <c:pt idx="2">
                  <c:v>9416.8127703820446</c:v>
                </c:pt>
                <c:pt idx="3">
                  <c:v>8901.7660267627289</c:v>
                </c:pt>
                <c:pt idx="4">
                  <c:v>7579.4128750556474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396-4A9B-9257-2B97BCF106FF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7C86BF2-F42D-45F6-B5B3-7FB61899A70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{D7C86BF2-F42D-45F6-B5B3-7FB61899A705}</c15:txfldGUID>
                      <c15:f>'Input (3) &amp; Process (4)'!$I$123</c15:f>
                      <c15:dlblFieldTableCache>
                        <c:ptCount val="1"/>
                        <c:pt idx="0">
                          <c:v>100,0%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8396-4A9B-9257-2B97BCF106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3122C3C-6D02-44C2-9D38-4A07F3D112C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{93122C3C-6D02-44C2-9D38-4A07F3D112C9}</c15:txfldGUID>
                      <c15:f>'Input (3) &amp; Process (4)'!$I$124</c15:f>
                      <c15:dlblFieldTableCache>
                        <c:ptCount val="1"/>
                        <c:pt idx="0">
                          <c:v>97,0%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8396-4A9B-9257-2B97BCF106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C22BF8B-96DC-409C-8720-914603E2B2B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{2C22BF8B-96DC-409C-8720-914603E2B2B4}</c15:txfldGUID>
                      <c15:f>'Input (3) &amp; Process (4)'!$I$125</c15:f>
                      <c15:dlblFieldTableCache>
                        <c:ptCount val="1"/>
                        <c:pt idx="0">
                          <c:v>95,1%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8396-4A9B-9257-2B97BCF106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874F0B-E7ED-4A65-A6D7-9D5709562E7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{D2874F0B-E7ED-4A65-A6D7-9D5709562E79}</c15:txfldGUID>
                      <c15:f>'Input (3) &amp; Process (4)'!$I$126</c15:f>
                      <c15:dlblFieldTableCache>
                        <c:ptCount val="1"/>
                        <c:pt idx="0">
                          <c:v>89,9%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8396-4A9B-9257-2B97BCF106F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0CD2D9E-A9F6-4ABC-B752-44A54DA45EF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{30CD2D9E-A9F6-4ABC-B752-44A54DA45EF1}</c15:txfldGUID>
                      <c15:f>'Input (3) &amp; Process (4)'!$I$127</c15:f>
                      <c15:dlblFieldTableCache>
                        <c:ptCount val="1"/>
                        <c:pt idx="0">
                          <c:v>76,5%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8396-4A9B-9257-2B97BCF10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(3) &amp; Process (4)'!$J$123:$J$127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'Input (3) &amp; Process (4)'!$H$123:$H$127</c:f>
              <c:numCache>
                <c:formatCode>0.000</c:formatCode>
                <c:ptCount val="5"/>
                <c:pt idx="0">
                  <c:v>9905.5396910481722</c:v>
                </c:pt>
                <c:pt idx="1">
                  <c:v>9608.3735003167276</c:v>
                </c:pt>
                <c:pt idx="2">
                  <c:v>9416.8127703820446</c:v>
                </c:pt>
                <c:pt idx="3">
                  <c:v>8901.7660267627289</c:v>
                </c:pt>
                <c:pt idx="4">
                  <c:v>7579.4128750556474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396-4A9B-9257-2B97BCF1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827632"/>
        <c:axId val="843828288"/>
      </c:scatterChart>
      <c:valAx>
        <c:axId val="843827632"/>
        <c:scaling>
          <c:orientation val="minMax"/>
          <c:min val="0.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3828288"/>
        <c:crosses val="autoZero"/>
        <c:crossBetween val="midCat"/>
      </c:valAx>
      <c:valAx>
        <c:axId val="843828288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 Gaya Prategang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2763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C3-492D-B7A7-A84B47C6159E}"/>
            </c:ext>
          </c:extLst>
        </c:ser>
        <c:ser>
          <c:idx val="1"/>
          <c:order val="1"/>
          <c:tx>
            <c:v>P/A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CC3-492D-B7A7-A84B47C6159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CC3-492D-B7A7-A84B47C615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C3-492D-B7A7-A84B47C615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C3-492D-B7A7-A84B47C615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46061E-9BDB-42A3-BE03-D3E669857DC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{1B46061E-9BDB-42A3-BE03-D3E669857DC6}</c15:txfldGUID>
                      <c15:f>Tabel!$A$63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CC3-492D-B7A7-A84B47C6159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A80A964-9A10-48DE-9C0C-47B3C7F9A1C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{0A80A964-9A10-48DE-9C0C-47B3C7F9A1CA}</c15:txfldGUID>
                      <c15:f>Tabel!$A$64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CC3-492D-B7A7-A84B47C615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C3-492D-B7A7-A84B47C615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Tabel!$G$62:$G$66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Tabel!$H$62:$H$66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CC3-492D-B7A7-A84B47C6159E}"/>
            </c:ext>
          </c:extLst>
        </c:ser>
        <c:ser>
          <c:idx val="2"/>
          <c:order val="2"/>
          <c:tx>
            <c:v>P*es/W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CC3-492D-B7A7-A84B47C6159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3CC3-492D-B7A7-A84B47C615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C3-492D-B7A7-A84B47C615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C3-492D-B7A7-A84B47C615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C10515-11B0-4B69-9B49-543E9BF2DDA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{E0C10515-11B0-4B69-9B49-543E9BF2DDA2}</c15:txfldGUID>
                      <c15:f>Tabel!$B$63</c15:f>
                      <c15:dlblFieldTableCache>
                        <c:ptCount val="1"/>
                        <c:pt idx="0">
                          <c:v>21,14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CC3-492D-B7A7-A84B47C6159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7173215-04FB-4E2D-B1A8-0E3AB00EA84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{F7173215-04FB-4E2D-B1A8-0E3AB00EA842}</c15:txfldGUID>
                      <c15:f>Tabel!$B$64</c15:f>
                      <c15:dlblFieldTableCache>
                        <c:ptCount val="1"/>
                        <c:pt idx="0">
                          <c:v>-19,66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CC3-492D-B7A7-A84B47C615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C3-492D-B7A7-A84B47C615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Tabel!$I$62:$I$66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191.13822734316091</c:v>
                </c:pt>
                <c:pt idx="3" formatCode="0.00">
                  <c:v>150.3401975548926</c:v>
                </c:pt>
                <c:pt idx="4">
                  <c:v>170</c:v>
                </c:pt>
              </c:numCache>
            </c:numRef>
          </c:xVal>
          <c:yVal>
            <c:numRef>
              <c:f>Tabel!$J$62:$J$66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CC3-492D-B7A7-A84B47C6159E}"/>
            </c:ext>
          </c:extLst>
        </c:ser>
        <c:ser>
          <c:idx val="3"/>
          <c:order val="3"/>
          <c:tx>
            <c:v>M/W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C3-492D-B7A7-A84B47C6159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C3-492D-B7A7-A84B47C615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C3-492D-B7A7-A84B47C615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CC3-492D-B7A7-A84B47C615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A859307-2CAF-400F-9D20-CFECA068226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{4A859307-2CAF-400F-9D20-CFECA068226A}</c15:txfldGUID>
                      <c15:f>Tabel!$C$63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CC3-492D-B7A7-A84B47C6159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1FC9EA-A855-478D-AD4A-5B39F8CFC3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{1C1FC9EA-A855-478D-AD4A-5B39F8CFC3A6}</c15:txfldGUID>
                      <c15:f>Tabel!$C$64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CC3-492D-B7A7-A84B47C615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CC3-492D-B7A7-A84B47C615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Tabel!$K$62:$K$66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Tabel!$L$62:$L$66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CC3-492D-B7A7-A84B47C6159E}"/>
            </c:ext>
          </c:extLst>
        </c:ser>
        <c:ser>
          <c:idx val="4"/>
          <c:order val="4"/>
          <c:tx>
            <c:v>Result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C3-492D-B7A7-A84B47C6159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C3-492D-B7A7-A84B47C615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CC3-492D-B7A7-A84B47C615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CC3-492D-B7A7-A84B47C615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E8DB934-8302-4AB7-9627-258AB8BA584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{FE8DB934-8302-4AB7-9627-258AB8BA584F}</c15:txfldGUID>
                      <c15:f>Tabel!$D$63</c15:f>
                      <c15:dlblFieldTableCache>
                        <c:ptCount val="1"/>
                        <c:pt idx="0">
                          <c:v>-1,52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CC3-492D-B7A7-A84B47C6159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610926-983B-4300-8939-114DD744209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{88610926-983B-4300-8939-114DD7442093}</c15:txfldGUID>
                      <c15:f>Tabel!$D$64</c15:f>
                      <c15:dlblFieldTableCache>
                        <c:ptCount val="1"/>
                        <c:pt idx="0">
                          <c:v>-24,00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3CC3-492D-B7A7-A84B47C615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CC3-492D-B7A7-A84B47C615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Tabel!$M$62:$M$66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358.48063044996701</c:v>
                </c:pt>
                <c:pt idx="3" formatCode="0.00">
                  <c:v>336</c:v>
                </c:pt>
                <c:pt idx="4">
                  <c:v>360</c:v>
                </c:pt>
              </c:numCache>
            </c:numRef>
          </c:xVal>
          <c:yVal>
            <c:numRef>
              <c:f>Tabel!$N$62:$N$66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3CC3-492D-B7A7-A84B47C6159E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CC3-492D-B7A7-A84B47C6159E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3CC3-492D-B7A7-A84B47C6159E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3CC3-492D-B7A7-A84B47C6159E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3CC3-492D-B7A7-A84B47C6159E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3CC3-492D-B7A7-A84B47C6159E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3CC3-492D-B7A7-A84B47C61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73-4575-9937-C3E6257D38E1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A73-4575-9937-C3E6257D38E1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A73-4575-9937-C3E6257D38E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73-4575-9937-C3E6257D38E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73-4575-9937-C3E6257D38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DC22B2-4AB9-4836-957C-20DF5DD59B8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{D5DC22B2-4AB9-4836-957C-20DF5DD59B80}</c15:txfldGUID>
                      <c15:f>Tabel!$R$63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A73-4575-9937-C3E6257D38E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0C2C95E-AF3F-4EE5-AD68-9FB191BC3A7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{50C2C95E-AF3F-4EE5-AD68-9FB191BC3A7D}</c15:txfldGUID>
                      <c15:f>Tabel!$R$64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A73-4575-9937-C3E6257D38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73-4575-9937-C3E6257D38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Tabel!$X$62:$X$66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Tabel!$Y$62:$Y$66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A73-4575-9937-C3E6257D38E1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A73-4575-9937-C3E6257D38E1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DA73-4575-9937-C3E6257D38E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9BBB4F-EF40-4EB6-AEBA-469844057A0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{9E9BBB4F-EF40-4EB6-AEBA-469844057A0A}</c15:txfldGUID>
                      <c15:f>Tabel!$S$64</c15:f>
                      <c15:dlblFieldTableCache>
                        <c:ptCount val="1"/>
                        <c:pt idx="0">
                          <c:v>0,79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A73-4575-9937-C3E6257D38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6E7E21-3C2F-4EE5-B68B-82D8B02137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{706E7E21-3C2F-4EE5-B68B-82D8B02137D2}</c15:txfldGUID>
                      <c15:f>Tabel!$S$63</c15:f>
                      <c15:dlblFieldTableCache>
                        <c:ptCount val="1"/>
                        <c:pt idx="0">
                          <c:v>-0,85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A73-4575-9937-C3E6257D38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73-4575-9937-C3E6257D38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73-4575-9937-C3E6257D38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73-4575-9937-C3E6257D38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Tabel!$Z$62:$Z$66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169.1460156153363</c:v>
                </c:pt>
                <c:pt idx="3" formatCode="0.00">
                  <c:v>170.79425601878233</c:v>
                </c:pt>
                <c:pt idx="4">
                  <c:v>170</c:v>
                </c:pt>
              </c:numCache>
            </c:numRef>
          </c:xVal>
          <c:yVal>
            <c:numRef>
              <c:f>Tabel!$AA$62:$AA$66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A73-4575-9937-C3E6257D38E1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535345B-9B82-4FCD-ACAD-F98BEDEE021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{7535345B-9B82-4FCD-ACAD-F98BEDEE0213}</c15:txfldGUID>
                      <c15:f>Tabel!$T$64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A73-4575-9937-C3E6257D38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856669-D4E9-4A58-9EE7-996F0154CB3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{C9856669-D4E9-4A58-9EE7-996F0154CB33}</c15:txfldGUID>
                      <c15:f>Tabel!$T$63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A73-4575-9937-C3E6257D38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73-4575-9937-C3E6257D38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73-4575-9937-C3E6257D38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73-4575-9937-C3E6257D38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Tabel!$AB$62:$AB$66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Tabel!$AC$62:$AC$66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A73-4575-9937-C3E6257D38E1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73-4575-9937-C3E6257D38E1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73-4575-9937-C3E6257D38E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A73-4575-9937-C3E6257D38E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A73-4575-9937-C3E6257D38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6190DF-D449-4B0A-9FFB-F2C360024C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{EF6190DF-D449-4B0A-9FFB-F2C360024C07}</c15:txfldGUID>
                      <c15:f>Tabel!$U$63</c15:f>
                      <c15:dlblFieldTableCache>
                        <c:ptCount val="1"/>
                        <c:pt idx="0">
                          <c:v>-14,02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DA73-4575-9937-C3E6257D38E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8F0D99-4481-486E-AC2D-BCEBDA79149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{248F0D99-4481-486E-AC2D-BCEBDA791495}</c15:txfldGUID>
                      <c15:f>Tabel!$U$64</c15:f>
                      <c15:dlblFieldTableCache>
                        <c:ptCount val="1"/>
                        <c:pt idx="0">
                          <c:v>-12,37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A73-4575-9937-C3E6257D38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A73-4575-9937-C3E6257D38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Tabel!$AD$62:$AD$66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345.97900818339667</c:v>
                </c:pt>
                <c:pt idx="3" formatCode="0.00">
                  <c:v>347.62724858684271</c:v>
                </c:pt>
                <c:pt idx="4">
                  <c:v>360</c:v>
                </c:pt>
              </c:numCache>
            </c:numRef>
          </c:xVal>
          <c:yVal>
            <c:numRef>
              <c:f>Tabel!$AE$62:$AE$66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A73-4575-9937-C3E6257D38E1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A73-4575-9937-C3E6257D38E1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A73-4575-9937-C3E6257D38E1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A73-4575-9937-C3E6257D38E1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A73-4575-9937-C3E6257D38E1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DA73-4575-9937-C3E6257D38E1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A73-4575-9937-C3E6257D38E1}"/>
            </c:ext>
          </c:extLst>
        </c:ser>
        <c:ser>
          <c:idx val="11"/>
          <c:order val="1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DA73-4575-9937-C3E6257D38E1}"/>
            </c:ext>
          </c:extLst>
        </c:ser>
        <c:ser>
          <c:idx val="12"/>
          <c:order val="12"/>
          <c:tx>
            <c:strRef>
              <c:f>Tabel!$N$23</c:f>
              <c:strCache>
                <c:ptCount val="1"/>
                <c:pt idx="0">
                  <c:v>15,238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DA73-4575-9937-C3E6257D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A6-4EBB-99D4-7B91C5B41ED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Tabel!$I$35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Tabel!$J$35</c:f>
              <c:numCache>
                <c:formatCode>0.00</c:formatCode>
                <c:ptCount val="1"/>
                <c:pt idx="0">
                  <c:v>32.857142857142854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A6-4EBB-99D4-7B91C5B41ED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Tabel!$I$36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Tabel!$J$36</c:f>
              <c:numCache>
                <c:formatCode>0.00</c:formatCode>
                <c:ptCount val="1"/>
                <c:pt idx="0">
                  <c:v>12.380952380952381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A6-4EBB-99D4-7B91C5B41EDA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Tabel!$I$37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Tabel!$J$37</c:f>
              <c:numCache>
                <c:formatCode>0.00</c:formatCode>
                <c:ptCount val="1"/>
                <c:pt idx="0">
                  <c:v>-8.0952380952380967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DA6-4EBB-99D4-7B91C5B41EDA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Tabel!$I$38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Tabel!$J$38</c:f>
              <c:numCache>
                <c:formatCode>0.00</c:formatCode>
                <c:ptCount val="1"/>
                <c:pt idx="0">
                  <c:v>-28.571428571428577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DA6-4EBB-99D4-7B91C5B41EDA}"/>
            </c:ext>
          </c:extLst>
        </c:ser>
        <c:ser>
          <c:idx val="5"/>
          <c:order val="5"/>
          <c:tx>
            <c:v>dalam kiri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DA6-4EBB-99D4-7B91C5B41EDA}"/>
            </c:ext>
          </c:extLst>
        </c:ser>
        <c:ser>
          <c:idx val="6"/>
          <c:order val="6"/>
          <c:tx>
            <c:v>dalam kanan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DA6-4EBB-99D4-7B91C5B41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25-4D48-984C-D66DB90E4DDF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A25-4D48-984C-D66DB90E4D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A25-4D48-984C-D66DB90E4DDF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EA23551-C686-4637-8AE4-521ECC7FADE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{3EA23551-C686-4637-8AE4-521ECC7FADED}</c15:txfldGUID>
                      <c15:f>Tabel!$A$83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A25-4D48-984C-D66DB90E4DD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F0A407-2392-40E0-9887-D3FAC5BD22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{D8F0A407-2392-40E0-9887-D3FAC5BD2207}</c15:txfldGUID>
                      <c15:f>Tabel!$A$84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A25-4D48-984C-D66DB90E4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Tabel!$G$82:$G$86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Tabel!$H$82:$H$86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25-4D48-984C-D66DB90E4DDF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A25-4D48-984C-D66DB90E4D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A25-4D48-984C-D66DB90E4DDF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53A3599-974F-4A28-A774-50D9E33D2D8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{353A3599-974F-4A28-A774-50D9E33D2D8E}</c15:txfldGUID>
                      <c15:f>Tabel!$B$83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A25-4D48-984C-D66DB90E4DD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D9B0565-3A6B-4926-B629-8805F03BC56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{8D9B0565-3A6B-4926-B629-8805F03BC562}</c15:txfldGUID>
                      <c15:f>Tabel!$B$84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A25-4D48-984C-D66DB90E4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Tabel!$I$82:$I$86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Tabel!$J$82:$J$86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A25-4D48-984C-D66DB90E4DDF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A25-4D48-984C-D66DB90E4D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A25-4D48-984C-D66DB90E4DDF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235C003-D280-4F51-93F1-7B79E8CEDC1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{6235C003-D280-4F51-93F1-7B79E8CEDC19}</c15:txfldGUID>
                      <c15:f>Tabel!$C$83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A25-4D48-984C-D66DB90E4DD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3E9DEF-4395-48EB-A62A-679DC5200FB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{833E9DEF-4395-48EB-A62A-679DC5200FB5}</c15:txfldGUID>
                      <c15:f>Tabel!$C$84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A25-4D48-984C-D66DB90E4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Tabel!$K$82:$K$86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Tabel!$L$82:$L$86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A25-4D48-984C-D66DB90E4DDF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A25-4D48-984C-D66DB90E4D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A25-4D48-984C-D66DB90E4DDF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10955FD3-B98C-4577-B8BB-38E376F7CA4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{10955FD3-B98C-4577-B8BB-38E376F7CA4A}</c15:txfldGUID>
                      <c15:f>Tabel!$D$83</c15:f>
                      <c15:dlblFieldTableCache>
                        <c:ptCount val="1"/>
                        <c:pt idx="0">
                          <c:v>-3,39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A25-4D48-984C-D66DB90E4DD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9FCE9A-8214-405E-B49C-8169F753ECF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{299FCE9A-8214-405E-B49C-8169F753ECF6}</c15:txfldGUID>
                      <c15:f>Tabel!$D$84</c15:f>
                      <c15:dlblFieldTableCache>
                        <c:ptCount val="1"/>
                        <c:pt idx="0">
                          <c:v>-16,29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A25-4D48-984C-D66DB90E4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Tabel!$M$82:$M$86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356.60874169175804</c:v>
                </c:pt>
                <c:pt idx="3" formatCode="0.00">
                  <c:v>343.70874935845188</c:v>
                </c:pt>
                <c:pt idx="4">
                  <c:v>360</c:v>
                </c:pt>
              </c:numCache>
            </c:numRef>
          </c:xVal>
          <c:yVal>
            <c:numRef>
              <c:f>Tabel!$N$82:$N$86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A25-4D48-984C-D66DB90E4DDF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A25-4D48-984C-D66DB90E4DDF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A25-4D48-984C-D66DB90E4DDF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A25-4D48-984C-D66DB90E4DDF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A25-4D48-984C-D66DB90E4DDF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A25-4D48-984C-D66DB90E4DDF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A25-4D48-984C-D66DB90E4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DA-427C-8971-61CF8132C200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DDF8583B-46DD-4EA7-BA8B-3E7A451A632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{DDF8583B-46DD-4EA7-BA8B-3E7A451A6328}</c15:txfldGUID>
                      <c15:f>Tabel!$R$83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FDA-427C-8971-61CF8132C20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5C69B5B-85A5-4BD9-B87E-6CAC8344B46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{35C69B5B-85A5-4BD9-B87E-6CAC8344B464}</c15:txfldGUID>
                      <c15:f>Tabel!$R$84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FDA-427C-8971-61CF8132C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Tabel!$X$82:$X$86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Tabel!$Y$82:$Y$86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FDA-427C-8971-61CF8132C200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7190E5A9-561D-43B8-B8A3-5FCC44E3F6D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{7190E5A9-561D-43B8-B8A3-5FCC44E3F6D0}</c15:txfldGUID>
                      <c15:f>Tabel!$S$83</c15:f>
                      <c15:dlblFieldTableCache>
                        <c:ptCount val="1"/>
                        <c:pt idx="0">
                          <c:v>-0,65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FDA-427C-8971-61CF8132C20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848AA7-17D7-4F23-8C1D-B9D94F40550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{E1848AA7-17D7-4F23-8C1D-B9D94F40550F}</c15:txfldGUID>
                      <c15:f>Tabel!$S$84</c15:f>
                      <c15:dlblFieldTableCache>
                        <c:ptCount val="1"/>
                        <c:pt idx="0">
                          <c:v>0,61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FDA-427C-8971-61CF8132C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Tabel!$Z$82:$Z$86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169.34655753829688</c:v>
                </c:pt>
                <c:pt idx="3" formatCode="0.00">
                  <c:v>170.60774016182981</c:v>
                </c:pt>
                <c:pt idx="4">
                  <c:v>170</c:v>
                </c:pt>
              </c:numCache>
            </c:numRef>
          </c:xVal>
          <c:yVal>
            <c:numRef>
              <c:f>Tabel!$AA$82:$AA$86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FDA-427C-8971-61CF8132C200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690759D-66E3-45B1-A2B6-5B13DC45A96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{8690759D-66E3-45B1-A2B6-5B13DC45A966}</c15:txfldGUID>
                      <c15:f>Tabel!$T$84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FDA-427C-8971-61CF8132C20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F96C33-8F14-4D01-A8A5-1720E6DC506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{ADF96C33-8F14-4D01-A8A5-1720E6DC5067}</c15:txfldGUID>
                      <c15:f>Tabel!$T$83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FDA-427C-8971-61CF8132C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Tabel!$AB$82:$AB$86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Tabel!$AC$82:$AC$86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FDA-427C-8971-61CF8132C200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9D1A83D3-BF12-4EA2-9CBA-8AD6DCC915A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{9D1A83D3-BF12-4EA2-9CBA-8AD6DCC915A4}</c15:txfldGUID>
                      <c15:f>Tabel!$U$83</c15:f>
                      <c15:dlblFieldTableCache>
                        <c:ptCount val="1"/>
                        <c:pt idx="0">
                          <c:v>-10,73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FDA-427C-8971-61CF8132C20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D2FD61D-9364-4421-9A16-C42D6BA6A8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{5D2FD61D-9364-4421-9A16-C42D6BA6A856}</c15:txfldGUID>
                      <c15:f>Tabel!$U$84</c15:f>
                      <c15:dlblFieldTableCache>
                        <c:ptCount val="1"/>
                        <c:pt idx="0">
                          <c:v>-9,47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FDA-427C-8971-61CF8132C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Tabel!$AD$82:$AD$86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349.27157033232101</c:v>
                </c:pt>
                <c:pt idx="3" formatCode="0.00">
                  <c:v>350.53275295585394</c:v>
                </c:pt>
                <c:pt idx="4">
                  <c:v>360</c:v>
                </c:pt>
              </c:numCache>
            </c:numRef>
          </c:xVal>
          <c:yVal>
            <c:numRef>
              <c:f>Tabel!$AE$82:$AE$86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FDA-427C-8971-61CF8132C200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FDA-427C-8971-61CF8132C200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FDA-427C-8971-61CF8132C200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FDA-427C-8971-61CF8132C200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FDA-427C-8971-61CF8132C200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FDA-427C-8971-61CF8132C200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FDA-427C-8971-61CF8132C200}"/>
            </c:ext>
          </c:extLst>
        </c:ser>
        <c:ser>
          <c:idx val="11"/>
          <c:order val="11"/>
          <c:tx>
            <c:strRef>
              <c:f>Tabel!$K$19</c:f>
              <c:strCache>
                <c:ptCount val="1"/>
                <c:pt idx="0">
                  <c:v>B'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FDA-427C-8971-61CF8132C200}"/>
            </c:ext>
          </c:extLst>
        </c:ser>
        <c:ser>
          <c:idx val="12"/>
          <c:order val="12"/>
          <c:tx>
            <c:strRef>
              <c:f>Tabel!$K$23</c:f>
              <c:strCache>
                <c:ptCount val="1"/>
                <c:pt idx="0">
                  <c:v>M'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FDA-427C-8971-61CF813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5F-4C84-AD94-1EF45D1F2B42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D5F-4C84-AD94-1EF45D1F2B42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D5F-4C84-AD94-1EF45D1F2B42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D8F0948-AF58-4F5F-996A-647FF6B7A3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{3D8F0948-AF58-4F5F-996A-647FF6B7A3D2}</c15:txfldGUID>
                      <c15:f>Tabel!$A$103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D5F-4C84-AD94-1EF45D1F2B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FB30D5-0341-4960-A1EE-A7A576215BD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{02FB30D5-0341-4960-A1EE-A7A576215BD6}</c15:txfldGUID>
                      <c15:f>Tabel!$A$104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D5F-4C84-AD94-1EF45D1F2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Tabel!$G$102:$G$106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Tabel!$H$102:$H$106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5F-4C84-AD94-1EF45D1F2B42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D5F-4C84-AD94-1EF45D1F2B42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D5F-4C84-AD94-1EF45D1F2B42}"/>
              </c:ext>
            </c:extLst>
          </c:dPt>
          <c:dLbls>
            <c:dLbl>
              <c:idx val="2"/>
              <c:layout>
                <c:manualLayout>
                  <c:x val="-1.0733923118740517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150975A-D06E-4780-A19F-B99030B26E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{6150975A-D06E-4780-A19F-B99030B26E81}</c15:txfldGUID>
                      <c15:f>Tabel!$B$103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D5F-4C84-AD94-1EF45D1F2B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C4FF18A-A6BD-4258-B935-3F6F6048B1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{6C4FF18A-A6BD-4258-B935-3F6F6048B1A6}</c15:txfldGUID>
                      <c15:f>Tabel!$B$104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D5F-4C84-AD94-1EF45D1F2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Tabel!$I$102:$I$106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Tabel!$J$102:$J$106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D5F-4C84-AD94-1EF45D1F2B42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D5F-4C84-AD94-1EF45D1F2B42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D5F-4C84-AD94-1EF45D1F2B42}"/>
              </c:ext>
            </c:extLst>
          </c:dPt>
          <c:dLbls>
            <c:dLbl>
              <c:idx val="2"/>
              <c:layout>
                <c:manualLayout>
                  <c:x val="-7.3505905517134984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CACB450-20F2-477E-AB63-301617E6825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{6CACB450-20F2-477E-AB63-301617E68250}</c15:txfldGUID>
                      <c15:f>Tabel!$C$103</c15:f>
                      <c15:dlblFieldTableCache>
                        <c:ptCount val="1"/>
                        <c:pt idx="0">
                          <c:v>-16,87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D5F-4C84-AD94-1EF45D1F2B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E9D178-09C9-413D-A6FB-DAE72AD44DAC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{85E9D178-09C9-413D-A6FB-DAE72AD44DAC}</c15:txfldGUID>
                      <c15:f>Tabel!$C$104</c15:f>
                      <c15:dlblFieldTableCache>
                        <c:ptCount val="1"/>
                        <c:pt idx="0">
                          <c:v>15,69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D5F-4C84-AD94-1EF45D1F2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Tabel!$K$102:$K$106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243.134429016681</c:v>
                </c:pt>
                <c:pt idx="3" formatCode="0.00">
                  <c:v>275.6859791633978</c:v>
                </c:pt>
                <c:pt idx="4">
                  <c:v>260</c:v>
                </c:pt>
              </c:numCache>
            </c:numRef>
          </c:xVal>
          <c:yVal>
            <c:numRef>
              <c:f>Tabel!$L$102:$L$106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D5F-4C84-AD94-1EF45D1F2B42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4D5F-4C84-AD94-1EF45D1F2B42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5F-4C84-AD94-1EF45D1F2B42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49672A6A-6648-4830-8FF5-F48DBD57C65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{49672A6A-6648-4830-8FF5-F48DBD57C65A}</c15:txfldGUID>
                      <c15:f>Tabel!$D$103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D5F-4C84-AD94-1EF45D1F2B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C5637A-3589-4567-B548-5EBC50224E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{CAC5637A-3589-4567-B548-5EBC50224E56}</c15:txfldGUID>
                      <c15:f>Tabel!$D$104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D5F-4C84-AD94-1EF45D1F2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Tabel!$M$102:$M$106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349.23376016969337</c:v>
                </c:pt>
                <c:pt idx="3" formatCode="0.00">
                  <c:v>350.56791864480266</c:v>
                </c:pt>
                <c:pt idx="4">
                  <c:v>360</c:v>
                </c:pt>
              </c:numCache>
            </c:numRef>
          </c:xVal>
          <c:yVal>
            <c:numRef>
              <c:f>Tabel!$N$102:$N$106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D5F-4C84-AD94-1EF45D1F2B42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D5F-4C84-AD94-1EF45D1F2B42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D5F-4C84-AD94-1EF45D1F2B42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D5F-4C84-AD94-1EF45D1F2B42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D5F-4C84-AD94-1EF45D1F2B42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D5F-4C84-AD94-1EF45D1F2B42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D5F-4C84-AD94-1EF45D1F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B9-4DC6-8ACC-32E840121AC8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0B9-4DC6-8ACC-32E840121AC8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0B9-4DC6-8ACC-32E840121AC8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E10A558-4D13-4F77-B196-0E842426907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{6E10A558-4D13-4F77-B196-0E8424269070}</c15:txfldGUID>
                      <c15:f>Tabel!$A$123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0B9-4DC6-8ACC-32E840121AC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B6081A1-9805-4DFC-8960-C52E30EDA9C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{BB6081A1-9805-4DFC-8960-C52E30EDA9C0}</c15:txfldGUID>
                      <c15:f>Tabel!$A$124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0B9-4DC6-8ACC-32E840121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Tabel!$G$124:$G$128</c:f>
              <c:numCache>
                <c:formatCode>General</c:formatCode>
                <c:ptCount val="5"/>
                <c:pt idx="0">
                  <c:v>115</c:v>
                </c:pt>
                <c:pt idx="1">
                  <c:v>115</c:v>
                </c:pt>
                <c:pt idx="2" formatCode="0.00">
                  <c:v>95</c:v>
                </c:pt>
                <c:pt idx="3" formatCode="0.00">
                  <c:v>97.478411211598086</c:v>
                </c:pt>
                <c:pt idx="4">
                  <c:v>115</c:v>
                </c:pt>
              </c:numCache>
            </c:numRef>
          </c:xVal>
          <c:yVal>
            <c:numRef>
              <c:f>Tabel!$H$124:$H$128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B9-4DC6-8ACC-32E840121AC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0B9-4DC6-8ACC-32E840121AC8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B9-4DC6-8ACC-32E840121AC8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fld id="{74E94BD4-68E3-4248-91B5-1EE551E1807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{74E94BD4-68E3-4248-91B5-1EE551E18071}</c15:txfldGUID>
                      <c15:f>Tabel!$B$123</c15:f>
                      <c15:dlblFieldTableCache>
                        <c:ptCount val="1"/>
                        <c:pt idx="0">
                          <c:v>-0,91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0B9-4DC6-8ACC-32E840121AC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80CCA6-3A4D-4FC0-BD25-5636FD066DB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{E980CCA6-3A4D-4FC0-BD25-5636FD066DB4}</c15:txfldGUID>
                      <c15:f>Tabel!$B$125</c15:f>
                      <c15:dlblFieldTableCache>
                        <c:ptCount val="1"/>
                        <c:pt idx="0">
                          <c:v>-0,95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0B9-4DC6-8ACC-32E840121AC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ABB95EC-8FAF-40FC-BC38-03F88498D00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{EABB95EC-8FAF-40FC-BC38-03F88498D006}</c15:txfldGUID>
                      <c15:f>Tabel!$B$124</c15:f>
                      <c15:dlblFieldTableCache>
                        <c:ptCount val="1"/>
                        <c:pt idx="0">
                          <c:v>-0,68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0B9-4DC6-8ACC-32E840121AC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358723A-05AA-4460-9966-7738FEDFB3B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{0358723A-05AA-4460-9966-7738FEDFB3BE}</c15:txfldGUID>
                      <c15:f>Tabel!$B$126</c15:f>
                      <c15:dlblFieldTableCache>
                        <c:ptCount val="1"/>
                        <c:pt idx="0">
                          <c:v>1,83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0B9-4DC6-8ACC-32E840121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Tabel!$I$122:$I$128</c:f>
              <c:numCache>
                <c:formatCode>General</c:formatCode>
                <c:ptCount val="7"/>
                <c:pt idx="0">
                  <c:v>205</c:v>
                </c:pt>
                <c:pt idx="1">
                  <c:v>205</c:v>
                </c:pt>
                <c:pt idx="2" formatCode="0.00">
                  <c:v>203.30985293737845</c:v>
                </c:pt>
                <c:pt idx="3" formatCode="0.00">
                  <c:v>203.74537771973695</c:v>
                </c:pt>
                <c:pt idx="4" formatCode="0.00">
                  <c:v>203.22790720779005</c:v>
                </c:pt>
                <c:pt idx="5" formatCode="0.00">
                  <c:v>208.39523035692929</c:v>
                </c:pt>
                <c:pt idx="6">
                  <c:v>205</c:v>
                </c:pt>
              </c:numCache>
            </c:numRef>
          </c:xVal>
          <c:yVal>
            <c:numRef>
              <c:f>Tabel!$J$122:$J$128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0B9-4DC6-8ACC-32E840121AC8}"/>
            </c:ext>
          </c:extLst>
        </c:ser>
        <c:ser>
          <c:idx val="9"/>
          <c:order val="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B9-4DC6-8ACC-32E840121AC8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B9-4DC6-8ACC-32E840121AC8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CA54684D-253D-43C0-873B-3B16E71A274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{CA54684D-253D-43C0-873B-3B16E71A2741}</c15:txfldGUID>
                      <c15:f>Tabel!$C$123</c15:f>
                      <c15:dlblFieldTableCache>
                        <c:ptCount val="1"/>
                        <c:pt idx="0">
                          <c:v>-3,06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0B9-4DC6-8ACC-32E840121AC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D3EE0D-7265-4B81-A843-8E7FED77F45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{F5D3EE0D-7265-4B81-A843-8E7FED77F459}</c15:txfldGUID>
                      <c15:f>Tabel!$C$124</c15:f>
                      <c15:dlblFieldTableCache>
                        <c:ptCount val="1"/>
                        <c:pt idx="0">
                          <c:v>-2,27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0B9-4DC6-8ACC-32E840121AC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0CDFCA8-0ABF-4297-88C9-915D8D63993B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{A0CDFCA8-0ABF-4297-88C9-915D8D63993B}</c15:txfldGUID>
                      <c15:f>Tabel!$C$125</c15:f>
                      <c15:dlblFieldTableCache>
                        <c:ptCount val="1"/>
                        <c:pt idx="0">
                          <c:v>-3,21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0B9-4DC6-8ACC-32E840121AC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1E0F9D-FD27-46ED-9FF5-DB732368B4E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{4C1E0F9D-FD27-46ED-9FF5-DB732368B4EE}</c15:txfldGUID>
                      <c15:f>Tabel!$C$126</c15:f>
                      <c15:dlblFieldTableCache>
                        <c:ptCount val="1"/>
                        <c:pt idx="0">
                          <c:v>6,14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0B9-4DC6-8ACC-32E840121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Tabel!$K$122:$K$128</c:f>
              <c:numCache>
                <c:formatCode>General</c:formatCode>
                <c:ptCount val="7"/>
                <c:pt idx="0">
                  <c:v>295</c:v>
                </c:pt>
                <c:pt idx="1">
                  <c:v>295</c:v>
                </c:pt>
                <c:pt idx="2" formatCode="0.00">
                  <c:v>289.31758734782557</c:v>
                </c:pt>
                <c:pt idx="3" formatCode="0.00">
                  <c:v>290.78185728524204</c:v>
                </c:pt>
                <c:pt idx="4" formatCode="0.00">
                  <c:v>289.04207910306809</c:v>
                </c:pt>
                <c:pt idx="5" formatCode="0.00">
                  <c:v>306.41504213682845</c:v>
                </c:pt>
                <c:pt idx="6">
                  <c:v>295</c:v>
                </c:pt>
              </c:numCache>
            </c:numRef>
          </c:xVal>
          <c:yVal>
            <c:numRef>
              <c:f>Tabel!$L$122:$L$128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0B9-4DC6-8ACC-32E840121AC8}"/>
            </c:ext>
          </c:extLst>
        </c:ser>
        <c:ser>
          <c:idx val="11"/>
          <c:order val="6"/>
          <c:tx>
            <c:strRef>
              <c:f>Tabel!$Q$2</c:f>
              <c:strCache>
                <c:ptCount val="1"/>
                <c:pt idx="0">
                  <c:v>H'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Tabel!$T$2:$T$3</c:f>
              <c:numCache>
                <c:formatCode>0.000</c:formatCode>
                <c:ptCount val="2"/>
                <c:pt idx="0">
                  <c:v>-50</c:v>
                </c:pt>
                <c:pt idx="1">
                  <c:v>-15.238095238095239</c:v>
                </c:pt>
              </c:numCache>
            </c:numRef>
          </c:xVal>
          <c:yVal>
            <c:numRef>
              <c:f>Tabel!$U$2:$U$3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0B9-4DC6-8ACC-32E840121AC8}"/>
            </c:ext>
          </c:extLst>
        </c:ser>
        <c:ser>
          <c:idx val="12"/>
          <c:order val="7"/>
          <c:tx>
            <c:strRef>
              <c:f>Tabel!$Q$4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Tabel!$T$4:$T$5</c:f>
              <c:numCache>
                <c:formatCode>0.000</c:formatCode>
                <c:ptCount val="2"/>
                <c:pt idx="0">
                  <c:v>15.238095238095239</c:v>
                </c:pt>
                <c:pt idx="1">
                  <c:v>50</c:v>
                </c:pt>
              </c:numCache>
            </c:numRef>
          </c:xVal>
          <c:yVal>
            <c:numRef>
              <c:f>Tabel!$U$4:$U$5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0B9-4DC6-8ACC-32E840121AC8}"/>
            </c:ext>
          </c:extLst>
        </c:ser>
        <c:ser>
          <c:idx val="13"/>
          <c:order val="8"/>
          <c:tx>
            <c:strRef>
              <c:f>Tabel!$Q$6</c:f>
              <c:strCache>
                <c:ptCount val="1"/>
                <c:pt idx="0">
                  <c:v>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Tabel!$T$6:$T$7</c:f>
              <c:numCache>
                <c:formatCode>0.000</c:formatCode>
                <c:ptCount val="2"/>
                <c:pt idx="0">
                  <c:v>-50</c:v>
                </c:pt>
                <c:pt idx="1">
                  <c:v>50</c:v>
                </c:pt>
              </c:numCache>
            </c:numRef>
          </c:xVal>
          <c:yVal>
            <c:numRef>
              <c:f>Tabel!$U$6:$U$7</c:f>
              <c:numCache>
                <c:formatCode>0.000</c:formatCode>
                <c:ptCount val="2"/>
                <c:pt idx="0">
                  <c:v>61.904761904761905</c:v>
                </c:pt>
                <c:pt idx="1">
                  <c:v>61.904761904761905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0B9-4DC6-8ACC-32E840121AC8}"/>
            </c:ext>
          </c:extLst>
        </c:ser>
        <c:ser>
          <c:idx val="10"/>
          <c:order val="9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B9-4DC6-8ACC-32E840121AC8}"/>
              </c:ext>
            </c:extLst>
          </c:dPt>
          <c:dPt>
            <c:idx val="3"/>
            <c:marker>
              <c:symbol val="circle"/>
              <c:size val="4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B9-4DC6-8ACC-32E840121AC8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B9-4DC6-8ACC-32E840121AC8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0B9-4DC6-8ACC-32E840121AC8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F1685967-BCC7-45B9-96F9-89D682A56D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{F1685967-BCC7-45B9-96F9-89D682A56D81}</c15:txfldGUID>
                      <c15:f>Tabel!$E$123</c15:f>
                      <c15:dlblFieldTableCache>
                        <c:ptCount val="1"/>
                        <c:pt idx="0">
                          <c:v>-3,97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0B9-4DC6-8ACC-32E840121AC8}"/>
                </c:ext>
              </c:extLst>
            </c:dLbl>
            <c:dLbl>
              <c:idx val="3"/>
              <c:layout>
                <c:manualLayout>
                  <c:x val="-5.9463516398493656E-2"/>
                  <c:y val="7.7611111111111075E-2"/>
                </c:manualLayout>
              </c:layout>
              <c:tx>
                <c:rich>
                  <a:bodyPr/>
                  <a:lstStyle/>
                  <a:p>
                    <a:fld id="{249128E9-404F-492C-8B98-936295B2519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{249128E9-404F-492C-8B98-936295B25191}</c15:txfldGUID>
                      <c15:f>Tabel!$E$124</c15:f>
                      <c15:dlblFieldTableCache>
                        <c:ptCount val="1"/>
                        <c:pt idx="0">
                          <c:v>-2,95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0B9-4DC6-8ACC-32E840121AC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44768F-F07D-491D-9827-C2FBDCB5BD3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{E044768F-F07D-491D-9827-C2FBDCB5BD38}</c15:txfldGUID>
                      <c15:f>Tabel!$E$125</c15:f>
                      <c15:dlblFieldTableCache>
                        <c:ptCount val="1"/>
                        <c:pt idx="0">
                          <c:v>-14,93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0B9-4DC6-8ACC-32E840121AC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7760F19-E95B-48C1-BC58-8CBCBA8EB5B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{F7760F19-E95B-48C1-BC58-8CBCBA8EB5B0}</c15:txfldGUID>
                      <c15:f>Tabel!$E$126</c15:f>
                      <c15:dlblFieldTableCache>
                        <c:ptCount val="1"/>
                        <c:pt idx="0">
                          <c:v>-1,46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B0B9-4DC6-8ACC-32E840121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Tabel!$M$122:$M$128</c:f>
              <c:numCache>
                <c:formatCode>General</c:formatCode>
                <c:ptCount val="7"/>
                <c:pt idx="0">
                  <c:v>415</c:v>
                </c:pt>
                <c:pt idx="1">
                  <c:v>415</c:v>
                </c:pt>
                <c:pt idx="2" formatCode="0.00">
                  <c:v>409.78030850223286</c:v>
                </c:pt>
                <c:pt idx="3" formatCode="0.00">
                  <c:v>411.12534234799625</c:v>
                </c:pt>
                <c:pt idx="4" formatCode="0.00">
                  <c:v>387.26998631085809</c:v>
                </c:pt>
                <c:pt idx="5" formatCode="0.00">
                  <c:v>412.28868370535582</c:v>
                </c:pt>
                <c:pt idx="6">
                  <c:v>415</c:v>
                </c:pt>
              </c:numCache>
            </c:numRef>
          </c:xVal>
          <c:yVal>
            <c:numRef>
              <c:f>Tabel!$N$122:$N$128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0B9-4DC6-8ACC-32E840121AC8}"/>
            </c:ext>
          </c:extLst>
        </c:ser>
        <c:ser>
          <c:idx val="5"/>
          <c:order val="1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Tabel!$K$111:$K$112</c:f>
              <c:numCache>
                <c:formatCode>General</c:formatCode>
                <c:ptCount val="2"/>
                <c:pt idx="0">
                  <c:v>160</c:v>
                </c:pt>
                <c:pt idx="1">
                  <c:v>150</c:v>
                </c:pt>
              </c:numCache>
            </c:numRef>
          </c:xVal>
          <c:yVal>
            <c:numRef>
              <c:f>Tabel!$L$111:$L$112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0B9-4DC6-8ACC-32E840121AC8}"/>
            </c:ext>
          </c:extLst>
        </c:ser>
        <c:ser>
          <c:idx val="6"/>
          <c:order val="1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Tabel!$K$113:$K$114</c:f>
              <c:numCache>
                <c:formatCode>General</c:formatCode>
                <c:ptCount val="2"/>
                <c:pt idx="0">
                  <c:v>155</c:v>
                </c:pt>
                <c:pt idx="1">
                  <c:v>155</c:v>
                </c:pt>
              </c:numCache>
            </c:numRef>
          </c:xVal>
          <c:yVal>
            <c:numRef>
              <c:f>Tabel!$L$113:$L$114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0B9-4DC6-8ACC-32E840121AC8}"/>
            </c:ext>
          </c:extLst>
        </c:ser>
        <c:ser>
          <c:idx val="7"/>
          <c:order val="12"/>
          <c:tx>
            <c:strRef>
              <c:f>Tabel!$M$111:$M$112</c:f>
              <c:strCache>
                <c:ptCount val="2"/>
                <c:pt idx="0">
                  <c:v>250</c:v>
                </c:pt>
                <c:pt idx="1">
                  <c:v>240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Tabel!$M$111:$M$112</c:f>
              <c:numCache>
                <c:formatCode>General</c:formatCode>
                <c:ptCount val="2"/>
                <c:pt idx="0">
                  <c:v>250</c:v>
                </c:pt>
                <c:pt idx="1">
                  <c:v>240</c:v>
                </c:pt>
              </c:numCache>
            </c:numRef>
          </c:xVal>
          <c:yVal>
            <c:numRef>
              <c:f>Tabel!$N$111:$N$112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0B9-4DC6-8ACC-32E840121AC8}"/>
            </c:ext>
          </c:extLst>
        </c:ser>
        <c:ser>
          <c:idx val="8"/>
          <c:order val="1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Tabel!$M$113:$M$114</c:f>
              <c:numCache>
                <c:formatCode>General</c:formatCode>
                <c:ptCount val="2"/>
                <c:pt idx="0">
                  <c:v>245</c:v>
                </c:pt>
                <c:pt idx="1">
                  <c:v>245</c:v>
                </c:pt>
              </c:numCache>
            </c:numRef>
          </c:xVal>
          <c:yVal>
            <c:numRef>
              <c:f>Tabel!$N$113:$N$114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0B9-4DC6-8ACC-32E840121AC8}"/>
            </c:ext>
          </c:extLst>
        </c:ser>
        <c:ser>
          <c:idx val="14"/>
          <c:order val="1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Tabel!$O$111:$O$112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Tabel!$P$111:$P$112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0B9-4DC6-8ACC-32E840121AC8}"/>
            </c:ext>
          </c:extLst>
        </c:ser>
        <c:ser>
          <c:idx val="15"/>
          <c:order val="1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Tabel!$O$113:$O$114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Tabel!$P$113:$P$114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0B9-4DC6-8ACC-32E840121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43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7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Perbandingan Geser</a:t>
            </a:r>
            <a:r>
              <a:rPr lang="en-ID" baseline="0"/>
              <a:t> Kritis terhadap Geser Nominal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'Input (4) &amp; Process (8)'!$G$38</c:f>
              <c:strCache>
                <c:ptCount val="1"/>
                <c:pt idx="0">
                  <c:v>Vucr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'Input (4) &amp; Process (8)'!$B$40:$B$60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(4) &amp; Process (8)'!$G$40:$G$60</c:f>
              <c:numCache>
                <c:formatCode>0.00</c:formatCode>
                <c:ptCount val="21"/>
                <c:pt idx="0">
                  <c:v>1033.2856000000002</c:v>
                </c:pt>
                <c:pt idx="1">
                  <c:v>981.6213200000002</c:v>
                </c:pt>
                <c:pt idx="2">
                  <c:v>929.95704000000012</c:v>
                </c:pt>
                <c:pt idx="3">
                  <c:v>878.29276000000016</c:v>
                </c:pt>
                <c:pt idx="4">
                  <c:v>826.6284800000002</c:v>
                </c:pt>
                <c:pt idx="5">
                  <c:v>774.96420000000012</c:v>
                </c:pt>
                <c:pt idx="6">
                  <c:v>723.29992000000016</c:v>
                </c:pt>
                <c:pt idx="7">
                  <c:v>671.63564000000019</c:v>
                </c:pt>
                <c:pt idx="8">
                  <c:v>619.97136000000012</c:v>
                </c:pt>
                <c:pt idx="9">
                  <c:v>568.30708000000016</c:v>
                </c:pt>
                <c:pt idx="10">
                  <c:v>516.64280000000008</c:v>
                </c:pt>
                <c:pt idx="11">
                  <c:v>464.97852000000006</c:v>
                </c:pt>
                <c:pt idx="12">
                  <c:v>413.3142400000001</c:v>
                </c:pt>
                <c:pt idx="13">
                  <c:v>361.64996000000008</c:v>
                </c:pt>
                <c:pt idx="14">
                  <c:v>309.98568000000006</c:v>
                </c:pt>
                <c:pt idx="15">
                  <c:v>258.32140000000004</c:v>
                </c:pt>
                <c:pt idx="16">
                  <c:v>206.65712000000005</c:v>
                </c:pt>
                <c:pt idx="17">
                  <c:v>154.99284000000003</c:v>
                </c:pt>
                <c:pt idx="18">
                  <c:v>103.32856000000002</c:v>
                </c:pt>
                <c:pt idx="19">
                  <c:v>51.664280000000012</c:v>
                </c:pt>
                <c:pt idx="20">
                  <c:v>3.0515199301858855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B6-4ACE-AA4B-D1088A8A473A}"/>
            </c:ext>
          </c:extLst>
        </c:ser>
        <c:ser>
          <c:idx val="1"/>
          <c:order val="1"/>
          <c:tx>
            <c:strRef>
              <c:f>'Input (4) &amp; Process (8)'!$H$86</c:f>
              <c:strCache>
                <c:ptCount val="1"/>
                <c:pt idx="0">
                  <c:v>φ * Vn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'Input (4) &amp; Process (8)'!$B$40:$B$60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(4) &amp; Process (8)'!$H$88:$H$108</c:f>
              <c:numCache>
                <c:formatCode>0.000</c:formatCode>
                <c:ptCount val="21"/>
                <c:pt idx="0">
                  <c:v>1359.2089097543605</c:v>
                </c:pt>
                <c:pt idx="1">
                  <c:v>1900.9901213739759</c:v>
                </c:pt>
                <c:pt idx="2">
                  <c:v>1977.9440068761585</c:v>
                </c:pt>
                <c:pt idx="3">
                  <c:v>2050.1148265045285</c:v>
                </c:pt>
                <c:pt idx="4">
                  <c:v>2117.5027167982444</c:v>
                </c:pt>
                <c:pt idx="5">
                  <c:v>2180.107814612089</c:v>
                </c:pt>
                <c:pt idx="6">
                  <c:v>2237.9302571084845</c:v>
                </c:pt>
                <c:pt idx="7">
                  <c:v>2254.9339705349412</c:v>
                </c:pt>
                <c:pt idx="8">
                  <c:v>2243.4699456519338</c:v>
                </c:pt>
                <c:pt idx="9">
                  <c:v>2232.0014042577609</c:v>
                </c:pt>
                <c:pt idx="10">
                  <c:v>2220.5284846646141</c:v>
                </c:pt>
                <c:pt idx="11">
                  <c:v>2209.0513254517314</c:v>
                </c:pt>
                <c:pt idx="12">
                  <c:v>2197.5700654571624</c:v>
                </c:pt>
                <c:pt idx="13">
                  <c:v>2186.0848437694922</c:v>
                </c:pt>
                <c:pt idx="14">
                  <c:v>2174.5957997195374</c:v>
                </c:pt>
                <c:pt idx="15">
                  <c:v>2163.1030728720016</c:v>
                </c:pt>
                <c:pt idx="16">
                  <c:v>2151.6068030170973</c:v>
                </c:pt>
                <c:pt idx="17">
                  <c:v>2140.1071301621428</c:v>
                </c:pt>
                <c:pt idx="18">
                  <c:v>2128.60419452312</c:v>
                </c:pt>
                <c:pt idx="19">
                  <c:v>2117.0981365162074</c:v>
                </c:pt>
                <c:pt idx="20">
                  <c:v>2105.5890967492815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B6-4ACE-AA4B-D1088A8A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522864"/>
        <c:axId val="336521880"/>
      </c:scatterChart>
      <c:valAx>
        <c:axId val="33652286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Station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521880"/>
        <c:crosses val="autoZero"/>
        <c:crossBetween val="midCat"/>
        <c:majorUnit val="4"/>
        <c:minorUnit val="1"/>
      </c:valAx>
      <c:valAx>
        <c:axId val="33652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Gaya Geser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522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8C-48DB-AC6C-74B17C1B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DA-4A87-BD13-ED479C485634}"/>
            </c:ext>
          </c:extLst>
        </c:ser>
        <c:ser>
          <c:idx val="1"/>
          <c:order val="1"/>
          <c:tx>
            <c:v>dalam kiri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DA-4A87-BD13-ED479C485634}"/>
            </c:ext>
          </c:extLst>
        </c:ser>
        <c:ser>
          <c:idx val="2"/>
          <c:order val="2"/>
          <c:tx>
            <c:v>dalam kanan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DA-4A87-BD13-ED479C485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/>
              <a:t>Trace Masing-masing Cable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'Process (3)'!$F$31</c:f>
              <c:strCache>
                <c:ptCount val="1"/>
                <c:pt idx="0">
                  <c:v>Tendon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(3)'!$P$36:$P$56</c:f>
              <c:numCache>
                <c:formatCode>0.000</c:formatCode>
                <c:ptCount val="21"/>
                <c:pt idx="0">
                  <c:v>1.74</c:v>
                </c:pt>
                <c:pt idx="1">
                  <c:v>1.610325</c:v>
                </c:pt>
                <c:pt idx="2">
                  <c:v>1.4872999999999998</c:v>
                </c:pt>
                <c:pt idx="3">
                  <c:v>1.3709249999999999</c:v>
                </c:pt>
                <c:pt idx="4">
                  <c:v>1.2611999999999999</c:v>
                </c:pt>
                <c:pt idx="5">
                  <c:v>1.1581250000000001</c:v>
                </c:pt>
                <c:pt idx="6">
                  <c:v>1.0616999999999999</c:v>
                </c:pt>
                <c:pt idx="7">
                  <c:v>0.97192499999999993</c:v>
                </c:pt>
                <c:pt idx="8">
                  <c:v>0.88879999999999992</c:v>
                </c:pt>
                <c:pt idx="9">
                  <c:v>0.81232499999999996</c:v>
                </c:pt>
                <c:pt idx="10">
                  <c:v>0.74249999999999994</c:v>
                </c:pt>
                <c:pt idx="11">
                  <c:v>0.67932499999999996</c:v>
                </c:pt>
                <c:pt idx="12">
                  <c:v>0.6227999999999998</c:v>
                </c:pt>
                <c:pt idx="13">
                  <c:v>0.57292499999999991</c:v>
                </c:pt>
                <c:pt idx="14">
                  <c:v>0.52970000000000006</c:v>
                </c:pt>
                <c:pt idx="15">
                  <c:v>0.49312499999999981</c:v>
                </c:pt>
                <c:pt idx="16">
                  <c:v>0.46319999999999983</c:v>
                </c:pt>
                <c:pt idx="17">
                  <c:v>0.43992500000000012</c:v>
                </c:pt>
                <c:pt idx="18">
                  <c:v>0.42330000000000001</c:v>
                </c:pt>
                <c:pt idx="19">
                  <c:v>0.41332499999999972</c:v>
                </c:pt>
                <c:pt idx="20">
                  <c:v>0.40999999999999992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14-45C9-95E7-16C104988297}"/>
            </c:ext>
          </c:extLst>
        </c:ser>
        <c:ser>
          <c:idx val="1"/>
          <c:order val="1"/>
          <c:tx>
            <c:strRef>
              <c:f>'Process (3)'!$F$32</c:f>
              <c:strCache>
                <c:ptCount val="1"/>
                <c:pt idx="0">
                  <c:v>Tendon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(3)'!$Q$36:$Q$56</c:f>
              <c:numCache>
                <c:formatCode>0.000</c:formatCode>
                <c:ptCount val="21"/>
                <c:pt idx="0">
                  <c:v>1.31</c:v>
                </c:pt>
                <c:pt idx="1">
                  <c:v>1.197875</c:v>
                </c:pt>
                <c:pt idx="2">
                  <c:v>1.0914999999999999</c:v>
                </c:pt>
                <c:pt idx="3">
                  <c:v>0.99087499999999995</c:v>
                </c:pt>
                <c:pt idx="4">
                  <c:v>0.89600000000000002</c:v>
                </c:pt>
                <c:pt idx="5">
                  <c:v>0.80687500000000001</c:v>
                </c:pt>
                <c:pt idx="6">
                  <c:v>0.72350000000000003</c:v>
                </c:pt>
                <c:pt idx="7">
                  <c:v>0.64587500000000009</c:v>
                </c:pt>
                <c:pt idx="8">
                  <c:v>0.57399999999999995</c:v>
                </c:pt>
                <c:pt idx="9">
                  <c:v>0.50787499999999997</c:v>
                </c:pt>
                <c:pt idx="10">
                  <c:v>0.4474999999999999</c:v>
                </c:pt>
                <c:pt idx="11">
                  <c:v>0.39287499999999986</c:v>
                </c:pt>
                <c:pt idx="12">
                  <c:v>0.34399999999999997</c:v>
                </c:pt>
                <c:pt idx="13">
                  <c:v>0.300875</c:v>
                </c:pt>
                <c:pt idx="14">
                  <c:v>0.26350000000000007</c:v>
                </c:pt>
                <c:pt idx="15">
                  <c:v>0.23187499999999983</c:v>
                </c:pt>
                <c:pt idx="16">
                  <c:v>0.20599999999999996</c:v>
                </c:pt>
                <c:pt idx="17">
                  <c:v>0.18587500000000001</c:v>
                </c:pt>
                <c:pt idx="18">
                  <c:v>0.17149999999999999</c:v>
                </c:pt>
                <c:pt idx="19">
                  <c:v>0.16287499999999988</c:v>
                </c:pt>
                <c:pt idx="20">
                  <c:v>0.15999999999999992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14-45C9-95E7-16C104988297}"/>
            </c:ext>
          </c:extLst>
        </c:ser>
        <c:ser>
          <c:idx val="2"/>
          <c:order val="2"/>
          <c:tx>
            <c:strRef>
              <c:f>'Process (3)'!$F$33</c:f>
              <c:strCache>
                <c:ptCount val="1"/>
                <c:pt idx="0">
                  <c:v>Tendon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(3)'!$R$36:$R$56</c:f>
              <c:numCache>
                <c:formatCode>0.000</c:formatCode>
                <c:ptCount val="21"/>
                <c:pt idx="0">
                  <c:v>0.88</c:v>
                </c:pt>
                <c:pt idx="1">
                  <c:v>0.80979999999999996</c:v>
                </c:pt>
                <c:pt idx="2">
                  <c:v>0.74319999999999997</c:v>
                </c:pt>
                <c:pt idx="3">
                  <c:v>0.68020000000000003</c:v>
                </c:pt>
                <c:pt idx="4">
                  <c:v>0.62080000000000002</c:v>
                </c:pt>
                <c:pt idx="5">
                  <c:v>0.56499999999999995</c:v>
                </c:pt>
                <c:pt idx="6">
                  <c:v>0.51279999999999992</c:v>
                </c:pt>
                <c:pt idx="7">
                  <c:v>0.4642</c:v>
                </c:pt>
                <c:pt idx="8">
                  <c:v>0.41920000000000002</c:v>
                </c:pt>
                <c:pt idx="9">
                  <c:v>0.37780000000000002</c:v>
                </c:pt>
                <c:pt idx="10">
                  <c:v>0.34000000000000008</c:v>
                </c:pt>
                <c:pt idx="11">
                  <c:v>0.30580000000000007</c:v>
                </c:pt>
                <c:pt idx="12">
                  <c:v>0.2752</c:v>
                </c:pt>
                <c:pt idx="13">
                  <c:v>0.24820000000000009</c:v>
                </c:pt>
                <c:pt idx="14">
                  <c:v>0.2248</c:v>
                </c:pt>
                <c:pt idx="15">
                  <c:v>0.20500000000000007</c:v>
                </c:pt>
                <c:pt idx="16">
                  <c:v>0.18879999999999997</c:v>
                </c:pt>
                <c:pt idx="17">
                  <c:v>0.17619999999999991</c:v>
                </c:pt>
                <c:pt idx="18">
                  <c:v>0.16720000000000002</c:v>
                </c:pt>
                <c:pt idx="19">
                  <c:v>0.16179999999999994</c:v>
                </c:pt>
                <c:pt idx="20">
                  <c:v>0.16000000000000003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14-45C9-95E7-16C104988297}"/>
            </c:ext>
          </c:extLst>
        </c:ser>
        <c:ser>
          <c:idx val="3"/>
          <c:order val="3"/>
          <c:tx>
            <c:strRef>
              <c:f>'Process (3)'!$F$34</c:f>
              <c:strCache>
                <c:ptCount val="1"/>
                <c:pt idx="0">
                  <c:v>Tendon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(3)'!$S$36:$S$56</c:f>
              <c:numCache>
                <c:formatCode>0.000</c:formatCode>
                <c:ptCount val="21"/>
                <c:pt idx="0">
                  <c:v>0.45</c:v>
                </c:pt>
                <c:pt idx="1">
                  <c:v>0.42172500000000002</c:v>
                </c:pt>
                <c:pt idx="2">
                  <c:v>0.39490000000000003</c:v>
                </c:pt>
                <c:pt idx="3">
                  <c:v>0.36952499999999999</c:v>
                </c:pt>
                <c:pt idx="4">
                  <c:v>0.34560000000000002</c:v>
                </c:pt>
                <c:pt idx="5">
                  <c:v>0.323125</c:v>
                </c:pt>
                <c:pt idx="6">
                  <c:v>0.30209999999999998</c:v>
                </c:pt>
                <c:pt idx="7">
                  <c:v>0.28252500000000003</c:v>
                </c:pt>
                <c:pt idx="8">
                  <c:v>0.26439999999999997</c:v>
                </c:pt>
                <c:pt idx="9">
                  <c:v>0.247725</c:v>
                </c:pt>
                <c:pt idx="10">
                  <c:v>0.23249999999999998</c:v>
                </c:pt>
                <c:pt idx="11">
                  <c:v>0.21872499999999997</c:v>
                </c:pt>
                <c:pt idx="12">
                  <c:v>0.20639999999999997</c:v>
                </c:pt>
                <c:pt idx="13">
                  <c:v>0.195525</c:v>
                </c:pt>
                <c:pt idx="14">
                  <c:v>0.18609999999999999</c:v>
                </c:pt>
                <c:pt idx="15">
                  <c:v>0.17812499999999998</c:v>
                </c:pt>
                <c:pt idx="16">
                  <c:v>0.17159999999999997</c:v>
                </c:pt>
                <c:pt idx="17">
                  <c:v>0.16652499999999998</c:v>
                </c:pt>
                <c:pt idx="18">
                  <c:v>0.16289999999999999</c:v>
                </c:pt>
                <c:pt idx="19">
                  <c:v>0.16072499999999995</c:v>
                </c:pt>
                <c:pt idx="20">
                  <c:v>0.15999999999999998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14-45C9-95E7-16C104988297}"/>
            </c:ext>
          </c:extLst>
        </c:ser>
        <c:ser>
          <c:idx val="4"/>
          <c:order val="4"/>
          <c:tx>
            <c:strRef>
              <c:f>'Process (3)'!$T$34</c:f>
              <c:strCache>
                <c:ptCount val="1"/>
                <c:pt idx="0">
                  <c:v>etop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(3)'!$T$36:$T$56</c:f>
              <c:numCache>
                <c:formatCode>0.000</c:formatCode>
                <c:ptCount val="21"/>
                <c:pt idx="0">
                  <c:v>1.5557482865713519</c:v>
                </c:pt>
                <c:pt idx="1">
                  <c:v>1.5132689357385329</c:v>
                </c:pt>
                <c:pt idx="2">
                  <c:v>1.4729680131535507</c:v>
                </c:pt>
                <c:pt idx="3">
                  <c:v>1.4348455188164055</c:v>
                </c:pt>
                <c:pt idx="4">
                  <c:v>1.3989014527270971</c:v>
                </c:pt>
                <c:pt idx="5">
                  <c:v>1.3651358148856256</c:v>
                </c:pt>
                <c:pt idx="6">
                  <c:v>1.3335486052919907</c:v>
                </c:pt>
                <c:pt idx="7">
                  <c:v>1.304139823946193</c:v>
                </c:pt>
                <c:pt idx="8">
                  <c:v>1.276909470848232</c:v>
                </c:pt>
                <c:pt idx="9">
                  <c:v>1.2518575459981081</c:v>
                </c:pt>
                <c:pt idx="10">
                  <c:v>1.2289840493958208</c:v>
                </c:pt>
                <c:pt idx="11">
                  <c:v>1.2082889810413706</c:v>
                </c:pt>
                <c:pt idx="12">
                  <c:v>1.1897723409347571</c:v>
                </c:pt>
                <c:pt idx="13">
                  <c:v>1.1734341290759807</c:v>
                </c:pt>
                <c:pt idx="14">
                  <c:v>1.1592743454650409</c:v>
                </c:pt>
                <c:pt idx="15">
                  <c:v>1.1472929901019382</c:v>
                </c:pt>
                <c:pt idx="16">
                  <c:v>1.1374900629866722</c:v>
                </c:pt>
                <c:pt idx="17">
                  <c:v>1.1298655641192432</c:v>
                </c:pt>
                <c:pt idx="18">
                  <c:v>1.124419493499651</c:v>
                </c:pt>
                <c:pt idx="19">
                  <c:v>1.1211518511278957</c:v>
                </c:pt>
                <c:pt idx="20">
                  <c:v>1.1200626370039772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14-45C9-95E7-16C104988297}"/>
            </c:ext>
          </c:extLst>
        </c:ser>
        <c:ser>
          <c:idx val="5"/>
          <c:order val="5"/>
          <c:tx>
            <c:strRef>
              <c:f>'Process (3)'!$U$34</c:f>
              <c:strCache>
                <c:ptCount val="1"/>
                <c:pt idx="0">
                  <c:v>ebtm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(3)'!$U$36:$U$56</c:f>
              <c:numCache>
                <c:formatCode>0.000</c:formatCode>
                <c:ptCount val="21"/>
                <c:pt idx="0">
                  <c:v>0.50576415928601548</c:v>
                </c:pt>
                <c:pt idx="1">
                  <c:v>0.47022077538355345</c:v>
                </c:pt>
                <c:pt idx="2">
                  <c:v>0.43650012911711517</c:v>
                </c:pt>
                <c:pt idx="3">
                  <c:v>0.40460222048670053</c:v>
                </c:pt>
                <c:pt idx="4">
                  <c:v>0.37452704949230958</c:v>
                </c:pt>
                <c:pt idx="5">
                  <c:v>0.34627461613394234</c:v>
                </c:pt>
                <c:pt idx="6">
                  <c:v>0.31984492041159884</c:v>
                </c:pt>
                <c:pt idx="7">
                  <c:v>0.29523796232527899</c:v>
                </c:pt>
                <c:pt idx="8">
                  <c:v>0.27245374187498284</c:v>
                </c:pt>
                <c:pt idx="9">
                  <c:v>0.25149225906071032</c:v>
                </c:pt>
                <c:pt idx="10">
                  <c:v>0.23235351388246156</c:v>
                </c:pt>
                <c:pt idx="11">
                  <c:v>0.2150375063402365</c:v>
                </c:pt>
                <c:pt idx="12">
                  <c:v>0.19954423643403507</c:v>
                </c:pt>
                <c:pt idx="13">
                  <c:v>0.1858737041638574</c:v>
                </c:pt>
                <c:pt idx="14">
                  <c:v>0.17402590952970337</c:v>
                </c:pt>
                <c:pt idx="15">
                  <c:v>0.16400085253157304</c:v>
                </c:pt>
                <c:pt idx="16">
                  <c:v>0.15579853316946646</c:v>
                </c:pt>
                <c:pt idx="17">
                  <c:v>0.14941895144338352</c:v>
                </c:pt>
                <c:pt idx="18">
                  <c:v>0.14486210735332428</c:v>
                </c:pt>
                <c:pt idx="19">
                  <c:v>0.14212800089928873</c:v>
                </c:pt>
                <c:pt idx="20">
                  <c:v>0.14121663208127688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14-45C9-95E7-16C104988297}"/>
            </c:ext>
          </c:extLst>
        </c:ser>
        <c:ser>
          <c:idx val="6"/>
          <c:order val="6"/>
          <c:tx>
            <c:v>Lintasan Inti Tendon</c:v>
          </c:tx>
          <c:spPr>
            <a:ln w="12700" cap="rnd" cmpd="sng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(3)'!$O$36:$O$56</c:f>
              <c:numCache>
                <c:formatCode>0.000</c:formatCode>
                <c:ptCount val="21"/>
                <c:pt idx="0">
                  <c:v>1.0119504630245026</c:v>
                </c:pt>
                <c:pt idx="1">
                  <c:v>0.93278529287961365</c:v>
                </c:pt>
                <c:pt idx="2">
                  <c:v>0.85767987504984711</c:v>
                </c:pt>
                <c:pt idx="3">
                  <c:v>0.78663420953520313</c:v>
                </c:pt>
                <c:pt idx="4">
                  <c:v>0.71964829633568161</c:v>
                </c:pt>
                <c:pt idx="5">
                  <c:v>0.65672213545128266</c:v>
                </c:pt>
                <c:pt idx="6">
                  <c:v>0.59785572688200628</c:v>
                </c:pt>
                <c:pt idx="7">
                  <c:v>0.54304907062785235</c:v>
                </c:pt>
                <c:pt idx="8">
                  <c:v>0.49230216668882087</c:v>
                </c:pt>
                <c:pt idx="9">
                  <c:v>0.44561501506491197</c:v>
                </c:pt>
                <c:pt idx="10">
                  <c:v>0.40298761575612563</c:v>
                </c:pt>
                <c:pt idx="11">
                  <c:v>0.36441996876246174</c:v>
                </c:pt>
                <c:pt idx="12">
                  <c:v>0.32991207408392031</c:v>
                </c:pt>
                <c:pt idx="13">
                  <c:v>0.29946393172050156</c:v>
                </c:pt>
                <c:pt idx="14">
                  <c:v>0.27307554167220527</c:v>
                </c:pt>
                <c:pt idx="15">
                  <c:v>0.25074690393903132</c:v>
                </c:pt>
                <c:pt idx="16">
                  <c:v>0.23247801852098005</c:v>
                </c:pt>
                <c:pt idx="17">
                  <c:v>0.21826888541805134</c:v>
                </c:pt>
                <c:pt idx="18">
                  <c:v>0.20811950463024498</c:v>
                </c:pt>
                <c:pt idx="19">
                  <c:v>0.20202987615756118</c:v>
                </c:pt>
                <c:pt idx="20">
                  <c:v>0.19999999999999996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E14-45C9-95E7-16C104988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677448"/>
        <c:axId val="386678432"/>
      </c:scatterChart>
      <c:valAx>
        <c:axId val="386677448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Panjang Bentang PC I Girder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78432"/>
        <c:crosses val="autoZero"/>
        <c:crossBetween val="midCat"/>
        <c:majorUnit val="1"/>
      </c:valAx>
      <c:valAx>
        <c:axId val="386678432"/>
        <c:scaling>
          <c:orientation val="minMax"/>
          <c:max val="2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77448"/>
        <c:crosses val="autoZero"/>
        <c:crossBetween val="midCat"/>
        <c:majorUnit val="0.3000000000000000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 Kehilangan Gaya</a:t>
            </a:r>
            <a:r>
              <a:rPr lang="en-ID" baseline="0"/>
              <a:t> Prategang</a:t>
            </a:r>
            <a:endParaRPr lang="en-ID"/>
          </a:p>
        </c:rich>
      </c:tx>
      <c:layout>
        <c:manualLayout>
          <c:xMode val="edge"/>
          <c:yMode val="edge"/>
          <c:x val="0.22693744531933507"/>
          <c:y val="2.9931972789115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72003499562555"/>
          <c:y val="0.13629931972789117"/>
          <c:w val="0.76172440944881892"/>
          <c:h val="0.83376870748299325"/>
        </c:manualLayout>
      </c:layout>
      <c:scatterChart>
        <c:scatterStyle val="lineMarker"/>
        <c:varyColors val="0"/>
        <c:ser>
          <c:idx val="1"/>
          <c:order val="0"/>
          <c:tx>
            <c:v>Grafik kehilangan gaya prategang</c:v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'Input (3) &amp; Process (4)'!$J$123:$J$127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'Input (3) &amp; Process (4)'!$H$123:$H$127</c:f>
              <c:numCache>
                <c:formatCode>0.000</c:formatCode>
                <c:ptCount val="5"/>
                <c:pt idx="0">
                  <c:v>9905.5396910481722</c:v>
                </c:pt>
                <c:pt idx="1">
                  <c:v>9608.3735003167276</c:v>
                </c:pt>
                <c:pt idx="2">
                  <c:v>9416.8127703820446</c:v>
                </c:pt>
                <c:pt idx="3">
                  <c:v>8901.7660267627289</c:v>
                </c:pt>
                <c:pt idx="4">
                  <c:v>7579.4128750556474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82-4049-85BC-0FA5C383FC58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7C86BF2-F42D-45F6-B5B3-7FB61899A70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{D7C86BF2-F42D-45F6-B5B3-7FB61899A705}</c15:txfldGUID>
                      <c15:f>'Input (3) &amp; Process (4)'!$I$123</c15:f>
                      <c15:dlblFieldTableCache>
                        <c:ptCount val="1"/>
                        <c:pt idx="0">
                          <c:v>100,0%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882-4049-85BC-0FA5C383FC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3122C3C-6D02-44C2-9D38-4A07F3D112C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{93122C3C-6D02-44C2-9D38-4A07F3D112C9}</c15:txfldGUID>
                      <c15:f>'Input (3) &amp; Process (4)'!$I$124</c15:f>
                      <c15:dlblFieldTableCache>
                        <c:ptCount val="1"/>
                        <c:pt idx="0">
                          <c:v>97,0%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882-4049-85BC-0FA5C383FC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C22BF8B-96DC-409C-8720-914603E2B2B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{2C22BF8B-96DC-409C-8720-914603E2B2B4}</c15:txfldGUID>
                      <c15:f>'Input (3) &amp; Process (4)'!$I$125</c15:f>
                      <c15:dlblFieldTableCache>
                        <c:ptCount val="1"/>
                        <c:pt idx="0">
                          <c:v>95,1%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882-4049-85BC-0FA5C383FC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874F0B-E7ED-4A65-A6D7-9D5709562E7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{D2874F0B-E7ED-4A65-A6D7-9D5709562E79}</c15:txfldGUID>
                      <c15:f>'Input (3) &amp; Process (4)'!$I$126</c15:f>
                      <c15:dlblFieldTableCache>
                        <c:ptCount val="1"/>
                        <c:pt idx="0">
                          <c:v>89,9%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882-4049-85BC-0FA5C383FC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0CD2D9E-A9F6-4ABC-B752-44A54DA45EF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{30CD2D9E-A9F6-4ABC-B752-44A54DA45EF1}</c15:txfldGUID>
                      <c15:f>'Input (3) &amp; Process (4)'!$I$127</c15:f>
                      <c15:dlblFieldTableCache>
                        <c:ptCount val="1"/>
                        <c:pt idx="0">
                          <c:v>76,5%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882-4049-85BC-0FA5C383F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(3) &amp; Process (4)'!$J$123:$J$127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'Input (3) &amp; Process (4)'!$H$123:$H$127</c:f>
              <c:numCache>
                <c:formatCode>0.000</c:formatCode>
                <c:ptCount val="5"/>
                <c:pt idx="0">
                  <c:v>9905.5396910481722</c:v>
                </c:pt>
                <c:pt idx="1">
                  <c:v>9608.3735003167276</c:v>
                </c:pt>
                <c:pt idx="2">
                  <c:v>9416.8127703820446</c:v>
                </c:pt>
                <c:pt idx="3">
                  <c:v>8901.7660267627289</c:v>
                </c:pt>
                <c:pt idx="4">
                  <c:v>7579.4128750556474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82-4049-85BC-0FA5C383F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827632"/>
        <c:axId val="843828288"/>
      </c:scatterChart>
      <c:valAx>
        <c:axId val="843827632"/>
        <c:scaling>
          <c:orientation val="minMax"/>
          <c:min val="0.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3828288"/>
        <c:crosses val="autoZero"/>
        <c:crossBetween val="midCat"/>
      </c:valAx>
      <c:valAx>
        <c:axId val="843828288"/>
        <c:scaling>
          <c:orientation val="minMax"/>
          <c:min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 Gaya Prategang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2763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AF-4025-AF78-CB3972B7C296}"/>
            </c:ext>
          </c:extLst>
        </c:ser>
        <c:ser>
          <c:idx val="1"/>
          <c:order val="1"/>
          <c:tx>
            <c:v>P/A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CAF-4025-AF78-CB3972B7C29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CAF-4025-AF78-CB3972B7C2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AF-4025-AF78-CB3972B7C2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AF-4025-AF78-CB3972B7C2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46061E-9BDB-42A3-BE03-D3E669857DC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{1B46061E-9BDB-42A3-BE03-D3E669857DC6}</c15:txfldGUID>
                      <c15:f>Tabel!$A$63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CAF-4025-AF78-CB3972B7C2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A80A964-9A10-48DE-9C0C-47B3C7F9A1C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{0A80A964-9A10-48DE-9C0C-47B3C7F9A1CA}</c15:txfldGUID>
                      <c15:f>Tabel!$A$64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1CAF-4025-AF78-CB3972B7C2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AF-4025-AF78-CB3972B7C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Tabel!$G$62:$G$66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Tabel!$H$62:$H$66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AF-4025-AF78-CB3972B7C296}"/>
            </c:ext>
          </c:extLst>
        </c:ser>
        <c:ser>
          <c:idx val="2"/>
          <c:order val="2"/>
          <c:tx>
            <c:v>P*es/W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CAF-4025-AF78-CB3972B7C29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1CAF-4025-AF78-CB3972B7C2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AF-4025-AF78-CB3972B7C2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AF-4025-AF78-CB3972B7C2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C10515-11B0-4B69-9B49-543E9BF2DDA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{E0C10515-11B0-4B69-9B49-543E9BF2DDA2}</c15:txfldGUID>
                      <c15:f>Tabel!$B$63</c15:f>
                      <c15:dlblFieldTableCache>
                        <c:ptCount val="1"/>
                        <c:pt idx="0">
                          <c:v>21,14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1CAF-4025-AF78-CB3972B7C2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7173215-04FB-4E2D-B1A8-0E3AB00EA84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{F7173215-04FB-4E2D-B1A8-0E3AB00EA842}</c15:txfldGUID>
                      <c15:f>Tabel!$B$64</c15:f>
                      <c15:dlblFieldTableCache>
                        <c:ptCount val="1"/>
                        <c:pt idx="0">
                          <c:v>-19,66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1CAF-4025-AF78-CB3972B7C2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AF-4025-AF78-CB3972B7C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Tabel!$I$62:$I$66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191.13822734316091</c:v>
                </c:pt>
                <c:pt idx="3" formatCode="0.00">
                  <c:v>150.3401975548926</c:v>
                </c:pt>
                <c:pt idx="4">
                  <c:v>170</c:v>
                </c:pt>
              </c:numCache>
            </c:numRef>
          </c:xVal>
          <c:yVal>
            <c:numRef>
              <c:f>Tabel!$J$62:$J$66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CAF-4025-AF78-CB3972B7C296}"/>
            </c:ext>
          </c:extLst>
        </c:ser>
        <c:ser>
          <c:idx val="3"/>
          <c:order val="3"/>
          <c:tx>
            <c:v>M/W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CAF-4025-AF78-CB3972B7C29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CAF-4025-AF78-CB3972B7C2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AF-4025-AF78-CB3972B7C2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AF-4025-AF78-CB3972B7C2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A859307-2CAF-400F-9D20-CFECA068226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{4A859307-2CAF-400F-9D20-CFECA068226A}</c15:txfldGUID>
                      <c15:f>Tabel!$C$63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CAF-4025-AF78-CB3972B7C2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1FC9EA-A855-478D-AD4A-5B39F8CFC3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{1C1FC9EA-A855-478D-AD4A-5B39F8CFC3A6}</c15:txfldGUID>
                      <c15:f>Tabel!$C$64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1CAF-4025-AF78-CB3972B7C2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AF-4025-AF78-CB3972B7C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Tabel!$K$62:$K$66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Tabel!$L$62:$L$66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CAF-4025-AF78-CB3972B7C296}"/>
            </c:ext>
          </c:extLst>
        </c:ser>
        <c:ser>
          <c:idx val="4"/>
          <c:order val="4"/>
          <c:tx>
            <c:v>Result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CAF-4025-AF78-CB3972B7C29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CAF-4025-AF78-CB3972B7C2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CAF-4025-AF78-CB3972B7C2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CAF-4025-AF78-CB3972B7C2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E8DB934-8302-4AB7-9627-258AB8BA584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{FE8DB934-8302-4AB7-9627-258AB8BA584F}</c15:txfldGUID>
                      <c15:f>Tabel!$D$63</c15:f>
                      <c15:dlblFieldTableCache>
                        <c:ptCount val="1"/>
                        <c:pt idx="0">
                          <c:v>-1,52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1CAF-4025-AF78-CB3972B7C2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610926-983B-4300-8939-114DD744209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{88610926-983B-4300-8939-114DD7442093}</c15:txfldGUID>
                      <c15:f>Tabel!$D$64</c15:f>
                      <c15:dlblFieldTableCache>
                        <c:ptCount val="1"/>
                        <c:pt idx="0">
                          <c:v>-24,00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1CAF-4025-AF78-CB3972B7C2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CAF-4025-AF78-CB3972B7C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Tabel!$M$62:$M$66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358.48063044996701</c:v>
                </c:pt>
                <c:pt idx="3" formatCode="0.00">
                  <c:v>336</c:v>
                </c:pt>
                <c:pt idx="4">
                  <c:v>360</c:v>
                </c:pt>
              </c:numCache>
            </c:numRef>
          </c:xVal>
          <c:yVal>
            <c:numRef>
              <c:f>Tabel!$N$62:$N$66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CAF-4025-AF78-CB3972B7C296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CAF-4025-AF78-CB3972B7C296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1CAF-4025-AF78-CB3972B7C296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CAF-4025-AF78-CB3972B7C296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1CAF-4025-AF78-CB3972B7C296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1CAF-4025-AF78-CB3972B7C296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1CAF-4025-AF78-CB3972B7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E3-466E-BD81-3B58D17B2C63}"/>
            </c:ext>
          </c:extLst>
        </c:ser>
        <c:ser>
          <c:idx val="1"/>
          <c:order val="1"/>
          <c:tx>
            <c:v>Tendon 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Tabel!$I$41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Tabel!$J$41</c:f>
              <c:numCache>
                <c:formatCode>0.00</c:formatCode>
                <c:ptCount val="1"/>
                <c:pt idx="0">
                  <c:v>-30.476190476190478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E3-466E-BD81-3B58D17B2C63}"/>
            </c:ext>
          </c:extLst>
        </c:ser>
        <c:ser>
          <c:idx val="2"/>
          <c:order val="2"/>
          <c:tx>
            <c:v>Tendon B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Tabel!$I$42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Tabel!$J$42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E3-466E-BD81-3B58D17B2C63}"/>
            </c:ext>
          </c:extLst>
        </c:ser>
        <c:ser>
          <c:idx val="3"/>
          <c:order val="3"/>
          <c:tx>
            <c:v>Tendon 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Tabel!$I$43</c:f>
              <c:numCache>
                <c:formatCode>0.00</c:formatCode>
                <c:ptCount val="1"/>
                <c:pt idx="0">
                  <c:v>9.5238095238095237</c:v>
                </c:pt>
              </c:numCache>
            </c:numRef>
          </c:xVal>
          <c:yVal>
            <c:numRef>
              <c:f>Tabel!$J$43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E3-466E-BD81-3B58D17B2C63}"/>
            </c:ext>
          </c:extLst>
        </c:ser>
        <c:ser>
          <c:idx val="4"/>
          <c:order val="4"/>
          <c:tx>
            <c:v>Tendon 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Tabel!$I$44</c:f>
              <c:numCache>
                <c:formatCode>0.00</c:formatCode>
                <c:ptCount val="1"/>
                <c:pt idx="0">
                  <c:v>-9.5238095238095237</c:v>
                </c:pt>
              </c:numCache>
            </c:numRef>
          </c:xVal>
          <c:yVal>
            <c:numRef>
              <c:f>Tabel!$J$44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8E3-466E-BD81-3B58D17B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2F-43E6-9CD3-86BE8EC8A25B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72F-43E6-9CD3-86BE8EC8A25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72F-43E6-9CD3-86BE8EC8A25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F-43E6-9CD3-86BE8EC8A2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2F-43E6-9CD3-86BE8EC8A2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DC22B2-4AB9-4836-957C-20DF5DD59B8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{D5DC22B2-4AB9-4836-957C-20DF5DD59B80}</c15:txfldGUID>
                      <c15:f>Tabel!$R$63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72F-43E6-9CD3-86BE8EC8A2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0C2C95E-AF3F-4EE5-AD68-9FB191BC3A7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{50C2C95E-AF3F-4EE5-AD68-9FB191BC3A7D}</c15:txfldGUID>
                      <c15:f>Tabel!$R$64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72F-43E6-9CD3-86BE8EC8A2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2F-43E6-9CD3-86BE8EC8A2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Tabel!$X$62:$X$66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Tabel!$Y$62:$Y$66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72F-43E6-9CD3-86BE8EC8A25B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72F-43E6-9CD3-86BE8EC8A25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72F-43E6-9CD3-86BE8EC8A25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9BBB4F-EF40-4EB6-AEBA-469844057A0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{9E9BBB4F-EF40-4EB6-AEBA-469844057A0A}</c15:txfldGUID>
                      <c15:f>Tabel!$S$64</c15:f>
                      <c15:dlblFieldTableCache>
                        <c:ptCount val="1"/>
                        <c:pt idx="0">
                          <c:v>0,79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72F-43E6-9CD3-86BE8EC8A2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6E7E21-3C2F-4EE5-B68B-82D8B02137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{706E7E21-3C2F-4EE5-B68B-82D8B02137D2}</c15:txfldGUID>
                      <c15:f>Tabel!$S$63</c15:f>
                      <c15:dlblFieldTableCache>
                        <c:ptCount val="1"/>
                        <c:pt idx="0">
                          <c:v>-0,85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72F-43E6-9CD3-86BE8EC8A2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2F-43E6-9CD3-86BE8EC8A2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2F-43E6-9CD3-86BE8EC8A2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2F-43E6-9CD3-86BE8EC8A2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Tabel!$Z$62:$Z$66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169.1460156153363</c:v>
                </c:pt>
                <c:pt idx="3" formatCode="0.00">
                  <c:v>170.79425601878233</c:v>
                </c:pt>
                <c:pt idx="4">
                  <c:v>170</c:v>
                </c:pt>
              </c:numCache>
            </c:numRef>
          </c:xVal>
          <c:yVal>
            <c:numRef>
              <c:f>Tabel!$AA$62:$AA$66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72F-43E6-9CD3-86BE8EC8A25B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535345B-9B82-4FCD-ACAD-F98BEDEE021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{7535345B-9B82-4FCD-ACAD-F98BEDEE0213}</c15:txfldGUID>
                      <c15:f>Tabel!$T$64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72F-43E6-9CD3-86BE8EC8A2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856669-D4E9-4A58-9EE7-996F0154CB3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{C9856669-D4E9-4A58-9EE7-996F0154CB33}</c15:txfldGUID>
                      <c15:f>Tabel!$T$63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72F-43E6-9CD3-86BE8EC8A2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2F-43E6-9CD3-86BE8EC8A2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2F-43E6-9CD3-86BE8EC8A2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72F-43E6-9CD3-86BE8EC8A2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Tabel!$AB$62:$AB$66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Tabel!$AC$62:$AC$66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72F-43E6-9CD3-86BE8EC8A25B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72F-43E6-9CD3-86BE8EC8A25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72F-43E6-9CD3-86BE8EC8A25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72F-43E6-9CD3-86BE8EC8A2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72F-43E6-9CD3-86BE8EC8A2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6190DF-D449-4B0A-9FFB-F2C360024C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{EF6190DF-D449-4B0A-9FFB-F2C360024C07}</c15:txfldGUID>
                      <c15:f>Tabel!$U$63</c15:f>
                      <c15:dlblFieldTableCache>
                        <c:ptCount val="1"/>
                        <c:pt idx="0">
                          <c:v>-14,02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72F-43E6-9CD3-86BE8EC8A2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8F0D99-4481-486E-AC2D-BCEBDA79149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{248F0D99-4481-486E-AC2D-BCEBDA791495}</c15:txfldGUID>
                      <c15:f>Tabel!$U$64</c15:f>
                      <c15:dlblFieldTableCache>
                        <c:ptCount val="1"/>
                        <c:pt idx="0">
                          <c:v>-12,37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72F-43E6-9CD3-86BE8EC8A2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72F-43E6-9CD3-86BE8EC8A2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Tabel!$AD$62:$AD$66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345.97900818339667</c:v>
                </c:pt>
                <c:pt idx="3" formatCode="0.00">
                  <c:v>347.62724858684271</c:v>
                </c:pt>
                <c:pt idx="4">
                  <c:v>360</c:v>
                </c:pt>
              </c:numCache>
            </c:numRef>
          </c:xVal>
          <c:yVal>
            <c:numRef>
              <c:f>Tabel!$AE$62:$AE$66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72F-43E6-9CD3-86BE8EC8A25B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72F-43E6-9CD3-86BE8EC8A25B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72F-43E6-9CD3-86BE8EC8A25B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72F-43E6-9CD3-86BE8EC8A25B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72F-43E6-9CD3-86BE8EC8A25B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E72F-43E6-9CD3-86BE8EC8A25B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E72F-43E6-9CD3-86BE8EC8A25B}"/>
            </c:ext>
          </c:extLst>
        </c:ser>
        <c:ser>
          <c:idx val="11"/>
          <c:order val="1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72F-43E6-9CD3-86BE8EC8A25B}"/>
            </c:ext>
          </c:extLst>
        </c:ser>
        <c:ser>
          <c:idx val="12"/>
          <c:order val="12"/>
          <c:tx>
            <c:strRef>
              <c:f>Tabel!$N$23</c:f>
              <c:strCache>
                <c:ptCount val="1"/>
                <c:pt idx="0">
                  <c:v>15,238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E72F-43E6-9CD3-86BE8EC8A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EF-41D4-8AA9-A066FD039295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EEF-41D4-8AA9-A066FD03929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EEF-41D4-8AA9-A066FD039295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EA23551-C686-4637-8AE4-521ECC7FADE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{3EA23551-C686-4637-8AE4-521ECC7FADED}</c15:txfldGUID>
                      <c15:f>Tabel!$A$83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EEF-41D4-8AA9-A066FD03929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F0A407-2392-40E0-9887-D3FAC5BD22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{D8F0A407-2392-40E0-9887-D3FAC5BD2207}</c15:txfldGUID>
                      <c15:f>Tabel!$A$84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EEF-41D4-8AA9-A066FD039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Tabel!$G$82:$G$86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Tabel!$H$82:$H$86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EF-41D4-8AA9-A066FD039295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EEF-41D4-8AA9-A066FD03929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EEF-41D4-8AA9-A066FD039295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53A3599-974F-4A28-A774-50D9E33D2D8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{353A3599-974F-4A28-A774-50D9E33D2D8E}</c15:txfldGUID>
                      <c15:f>Tabel!$B$83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EEF-41D4-8AA9-A066FD03929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D9B0565-3A6B-4926-B629-8805F03BC56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{8D9B0565-3A6B-4926-B629-8805F03BC562}</c15:txfldGUID>
                      <c15:f>Tabel!$B$84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EEF-41D4-8AA9-A066FD039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Tabel!$I$82:$I$86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Tabel!$J$82:$J$86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EEF-41D4-8AA9-A066FD039295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EEF-41D4-8AA9-A066FD03929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EEF-41D4-8AA9-A066FD039295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235C003-D280-4F51-93F1-7B79E8CEDC1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{6235C003-D280-4F51-93F1-7B79E8CEDC19}</c15:txfldGUID>
                      <c15:f>Tabel!$C$83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EEF-41D4-8AA9-A066FD03929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3E9DEF-4395-48EB-A62A-679DC5200FB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{833E9DEF-4395-48EB-A62A-679DC5200FB5}</c15:txfldGUID>
                      <c15:f>Tabel!$C$84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EEF-41D4-8AA9-A066FD039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Tabel!$K$82:$K$86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Tabel!$L$82:$L$86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EEF-41D4-8AA9-A066FD039295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EEF-41D4-8AA9-A066FD039295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EF-41D4-8AA9-A066FD039295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10955FD3-B98C-4577-B8BB-38E376F7CA4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{10955FD3-B98C-4577-B8BB-38E376F7CA4A}</c15:txfldGUID>
                      <c15:f>Tabel!$D$83</c15:f>
                      <c15:dlblFieldTableCache>
                        <c:ptCount val="1"/>
                        <c:pt idx="0">
                          <c:v>-3,39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EEF-41D4-8AA9-A066FD03929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9FCE9A-8214-405E-B49C-8169F753ECF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{299FCE9A-8214-405E-B49C-8169F753ECF6}</c15:txfldGUID>
                      <c15:f>Tabel!$D$84</c15:f>
                      <c15:dlblFieldTableCache>
                        <c:ptCount val="1"/>
                        <c:pt idx="0">
                          <c:v>-16,29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EEF-41D4-8AA9-A066FD0392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Tabel!$M$82:$M$86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356.60874169175804</c:v>
                </c:pt>
                <c:pt idx="3" formatCode="0.00">
                  <c:v>343.70874935845188</c:v>
                </c:pt>
                <c:pt idx="4">
                  <c:v>360</c:v>
                </c:pt>
              </c:numCache>
            </c:numRef>
          </c:xVal>
          <c:yVal>
            <c:numRef>
              <c:f>Tabel!$N$82:$N$86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EEF-41D4-8AA9-A066FD039295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EEF-41D4-8AA9-A066FD039295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EEF-41D4-8AA9-A066FD039295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EEF-41D4-8AA9-A066FD039295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EEF-41D4-8AA9-A066FD039295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EEF-41D4-8AA9-A066FD039295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EEF-41D4-8AA9-A066FD039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A9-4962-83C0-AF6C08F91AE6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DDF8583B-46DD-4EA7-BA8B-3E7A451A632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{DDF8583B-46DD-4EA7-BA8B-3E7A451A6328}</c15:txfldGUID>
                      <c15:f>Tabel!$R$83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BA9-4962-83C0-AF6C08F91AE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5C69B5B-85A5-4BD9-B87E-6CAC8344B46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{35C69B5B-85A5-4BD9-B87E-6CAC8344B464}</c15:txfldGUID>
                      <c15:f>Tabel!$R$84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BA9-4962-83C0-AF6C08F91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Tabel!$X$82:$X$86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Tabel!$Y$82:$Y$86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BA9-4962-83C0-AF6C08F91AE6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7190E5A9-561D-43B8-B8A3-5FCC44E3F6D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{7190E5A9-561D-43B8-B8A3-5FCC44E3F6D0}</c15:txfldGUID>
                      <c15:f>Tabel!$S$83</c15:f>
                      <c15:dlblFieldTableCache>
                        <c:ptCount val="1"/>
                        <c:pt idx="0">
                          <c:v>-0,65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BA9-4962-83C0-AF6C08F91AE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848AA7-17D7-4F23-8C1D-B9D94F40550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{E1848AA7-17D7-4F23-8C1D-B9D94F40550F}</c15:txfldGUID>
                      <c15:f>Tabel!$S$84</c15:f>
                      <c15:dlblFieldTableCache>
                        <c:ptCount val="1"/>
                        <c:pt idx="0">
                          <c:v>0,61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BA9-4962-83C0-AF6C08F91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Tabel!$Z$82:$Z$86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169.34655753829688</c:v>
                </c:pt>
                <c:pt idx="3" formatCode="0.00">
                  <c:v>170.60774016182981</c:v>
                </c:pt>
                <c:pt idx="4">
                  <c:v>170</c:v>
                </c:pt>
              </c:numCache>
            </c:numRef>
          </c:xVal>
          <c:yVal>
            <c:numRef>
              <c:f>Tabel!$AA$82:$AA$86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BA9-4962-83C0-AF6C08F91AE6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690759D-66E3-45B1-A2B6-5B13DC45A96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{8690759D-66E3-45B1-A2B6-5B13DC45A966}</c15:txfldGUID>
                      <c15:f>Tabel!$T$84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8BA9-4962-83C0-AF6C08F91AE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F96C33-8F14-4D01-A8A5-1720E6DC506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{ADF96C33-8F14-4D01-A8A5-1720E6DC5067}</c15:txfldGUID>
                      <c15:f>Tabel!$T$83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8BA9-4962-83C0-AF6C08F91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Tabel!$AB$82:$AB$86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Tabel!$AC$82:$AC$86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BA9-4962-83C0-AF6C08F91AE6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9D1A83D3-BF12-4EA2-9CBA-8AD6DCC915A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{9D1A83D3-BF12-4EA2-9CBA-8AD6DCC915A4}</c15:txfldGUID>
                      <c15:f>Tabel!$U$83</c15:f>
                      <c15:dlblFieldTableCache>
                        <c:ptCount val="1"/>
                        <c:pt idx="0">
                          <c:v>-10,73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BA9-4962-83C0-AF6C08F91AE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D2FD61D-9364-4421-9A16-C42D6BA6A8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{5D2FD61D-9364-4421-9A16-C42D6BA6A856}</c15:txfldGUID>
                      <c15:f>Tabel!$U$84</c15:f>
                      <c15:dlblFieldTableCache>
                        <c:ptCount val="1"/>
                        <c:pt idx="0">
                          <c:v>-9,47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BA9-4962-83C0-AF6C08F91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Tabel!$AD$82:$AD$86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349.27157033232101</c:v>
                </c:pt>
                <c:pt idx="3" formatCode="0.00">
                  <c:v>350.53275295585394</c:v>
                </c:pt>
                <c:pt idx="4">
                  <c:v>360</c:v>
                </c:pt>
              </c:numCache>
            </c:numRef>
          </c:xVal>
          <c:yVal>
            <c:numRef>
              <c:f>Tabel!$AE$82:$AE$86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BA9-4962-83C0-AF6C08F91AE6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BA9-4962-83C0-AF6C08F91AE6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BA9-4962-83C0-AF6C08F91AE6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BA9-4962-83C0-AF6C08F91AE6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BA9-4962-83C0-AF6C08F91AE6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BA9-4962-83C0-AF6C08F91AE6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BA9-4962-83C0-AF6C08F91AE6}"/>
            </c:ext>
          </c:extLst>
        </c:ser>
        <c:ser>
          <c:idx val="11"/>
          <c:order val="11"/>
          <c:tx>
            <c:strRef>
              <c:f>Tabel!$K$19</c:f>
              <c:strCache>
                <c:ptCount val="1"/>
                <c:pt idx="0">
                  <c:v>B'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BA9-4962-83C0-AF6C08F91AE6}"/>
            </c:ext>
          </c:extLst>
        </c:ser>
        <c:ser>
          <c:idx val="12"/>
          <c:order val="12"/>
          <c:tx>
            <c:strRef>
              <c:f>Tabel!$K$23</c:f>
              <c:strCache>
                <c:ptCount val="1"/>
                <c:pt idx="0">
                  <c:v>M'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BA9-4962-83C0-AF6C08F9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72-4744-814E-AE83590DAD3E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A72-4744-814E-AE83590DAD3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A72-4744-814E-AE83590DAD3E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D8F0948-AF58-4F5F-996A-647FF6B7A3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{3D8F0948-AF58-4F5F-996A-647FF6B7A3D2}</c15:txfldGUID>
                      <c15:f>Tabel!$A$103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A72-4744-814E-AE83590DAD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FB30D5-0341-4960-A1EE-A7A576215BD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{02FB30D5-0341-4960-A1EE-A7A576215BD6}</c15:txfldGUID>
                      <c15:f>Tabel!$A$104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A72-4744-814E-AE83590DA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Tabel!$G$102:$G$106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Tabel!$H$102:$H$106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72-4744-814E-AE83590DAD3E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BA72-4744-814E-AE83590DAD3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A72-4744-814E-AE83590DAD3E}"/>
              </c:ext>
            </c:extLst>
          </c:dPt>
          <c:dLbls>
            <c:dLbl>
              <c:idx val="2"/>
              <c:layout>
                <c:manualLayout>
                  <c:x val="-1.0733923118740517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150975A-D06E-4780-A19F-B99030B26E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{6150975A-D06E-4780-A19F-B99030B26E81}</c15:txfldGUID>
                      <c15:f>Tabel!$B$103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A72-4744-814E-AE83590DAD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C4FF18A-A6BD-4258-B935-3F6F6048B1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{6C4FF18A-A6BD-4258-B935-3F6F6048B1A6}</c15:txfldGUID>
                      <c15:f>Tabel!$B$104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A72-4744-814E-AE83590DA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Tabel!$I$102:$I$106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Tabel!$J$102:$J$106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A72-4744-814E-AE83590DAD3E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A72-4744-814E-AE83590DAD3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A72-4744-814E-AE83590DAD3E}"/>
              </c:ext>
            </c:extLst>
          </c:dPt>
          <c:dLbls>
            <c:dLbl>
              <c:idx val="2"/>
              <c:layout>
                <c:manualLayout>
                  <c:x val="-7.3505905517134984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CACB450-20F2-477E-AB63-301617E6825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{6CACB450-20F2-477E-AB63-301617E68250}</c15:txfldGUID>
                      <c15:f>Tabel!$C$103</c15:f>
                      <c15:dlblFieldTableCache>
                        <c:ptCount val="1"/>
                        <c:pt idx="0">
                          <c:v>-16,87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A72-4744-814E-AE83590DAD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E9D178-09C9-413D-A6FB-DAE72AD44DAC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{85E9D178-09C9-413D-A6FB-DAE72AD44DAC}</c15:txfldGUID>
                      <c15:f>Tabel!$C$104</c15:f>
                      <c15:dlblFieldTableCache>
                        <c:ptCount val="1"/>
                        <c:pt idx="0">
                          <c:v>15,69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A72-4744-814E-AE83590DA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Tabel!$K$102:$K$106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243.134429016681</c:v>
                </c:pt>
                <c:pt idx="3" formatCode="0.00">
                  <c:v>275.6859791633978</c:v>
                </c:pt>
                <c:pt idx="4">
                  <c:v>260</c:v>
                </c:pt>
              </c:numCache>
            </c:numRef>
          </c:xVal>
          <c:yVal>
            <c:numRef>
              <c:f>Tabel!$L$102:$L$106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A72-4744-814E-AE83590DAD3E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A72-4744-814E-AE83590DAD3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A72-4744-814E-AE83590DAD3E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49672A6A-6648-4830-8FF5-F48DBD57C65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{49672A6A-6648-4830-8FF5-F48DBD57C65A}</c15:txfldGUID>
                      <c15:f>Tabel!$D$103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A72-4744-814E-AE83590DAD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C5637A-3589-4567-B548-5EBC50224E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{CAC5637A-3589-4567-B548-5EBC50224E56}</c15:txfldGUID>
                      <c15:f>Tabel!$D$104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A72-4744-814E-AE83590DA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Tabel!$M$102:$M$106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349.23376016969337</c:v>
                </c:pt>
                <c:pt idx="3" formatCode="0.00">
                  <c:v>350.56791864480266</c:v>
                </c:pt>
                <c:pt idx="4">
                  <c:v>360</c:v>
                </c:pt>
              </c:numCache>
            </c:numRef>
          </c:xVal>
          <c:yVal>
            <c:numRef>
              <c:f>Tabel!$N$102:$N$106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A72-4744-814E-AE83590DAD3E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A72-4744-814E-AE83590DAD3E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A72-4744-814E-AE83590DAD3E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A72-4744-814E-AE83590DAD3E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A72-4744-814E-AE83590DAD3E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A72-4744-814E-AE83590DAD3E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A72-4744-814E-AE83590DA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02-480B-A66E-AE06BC56953C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D02-480B-A66E-AE06BC56953C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D02-480B-A66E-AE06BC56953C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E10A558-4D13-4F77-B196-0E842426907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{6E10A558-4D13-4F77-B196-0E8424269070}</c15:txfldGUID>
                      <c15:f>Tabel!$A$123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D02-480B-A66E-AE06BC5695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B6081A1-9805-4DFC-8960-C52E30EDA9C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{BB6081A1-9805-4DFC-8960-C52E30EDA9C0}</c15:txfldGUID>
                      <c15:f>Tabel!$A$124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D02-480B-A66E-AE06BC569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Tabel!$G$124:$G$128</c:f>
              <c:numCache>
                <c:formatCode>General</c:formatCode>
                <c:ptCount val="5"/>
                <c:pt idx="0">
                  <c:v>115</c:v>
                </c:pt>
                <c:pt idx="1">
                  <c:v>115</c:v>
                </c:pt>
                <c:pt idx="2" formatCode="0.00">
                  <c:v>95</c:v>
                </c:pt>
                <c:pt idx="3" formatCode="0.00">
                  <c:v>97.478411211598086</c:v>
                </c:pt>
                <c:pt idx="4">
                  <c:v>115</c:v>
                </c:pt>
              </c:numCache>
            </c:numRef>
          </c:xVal>
          <c:yVal>
            <c:numRef>
              <c:f>Tabel!$H$124:$H$128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02-480B-A66E-AE06BC56953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D02-480B-A66E-AE06BC56953C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D02-480B-A66E-AE06BC56953C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fld id="{74E94BD4-68E3-4248-91B5-1EE551E1807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{74E94BD4-68E3-4248-91B5-1EE551E18071}</c15:txfldGUID>
                      <c15:f>Tabel!$B$123</c15:f>
                      <c15:dlblFieldTableCache>
                        <c:ptCount val="1"/>
                        <c:pt idx="0">
                          <c:v>-0,91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D02-480B-A66E-AE06BC5695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80CCA6-3A4D-4FC0-BD25-5636FD066DB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{E980CCA6-3A4D-4FC0-BD25-5636FD066DB4}</c15:txfldGUID>
                      <c15:f>Tabel!$B$125</c15:f>
                      <c15:dlblFieldTableCache>
                        <c:ptCount val="1"/>
                        <c:pt idx="0">
                          <c:v>-0,95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D02-480B-A66E-AE06BC56953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ABB95EC-8FAF-40FC-BC38-03F88498D00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{EABB95EC-8FAF-40FC-BC38-03F88498D006}</c15:txfldGUID>
                      <c15:f>Tabel!$B$124</c15:f>
                      <c15:dlblFieldTableCache>
                        <c:ptCount val="1"/>
                        <c:pt idx="0">
                          <c:v>-0,68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D02-480B-A66E-AE06BC5695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358723A-05AA-4460-9966-7738FEDFB3B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{0358723A-05AA-4460-9966-7738FEDFB3BE}</c15:txfldGUID>
                      <c15:f>Tabel!$B$126</c15:f>
                      <c15:dlblFieldTableCache>
                        <c:ptCount val="1"/>
                        <c:pt idx="0">
                          <c:v>1,83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D02-480B-A66E-AE06BC569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Tabel!$I$122:$I$128</c:f>
              <c:numCache>
                <c:formatCode>General</c:formatCode>
                <c:ptCount val="7"/>
                <c:pt idx="0">
                  <c:v>205</c:v>
                </c:pt>
                <c:pt idx="1">
                  <c:v>205</c:v>
                </c:pt>
                <c:pt idx="2" formatCode="0.00">
                  <c:v>203.30985293737845</c:v>
                </c:pt>
                <c:pt idx="3" formatCode="0.00">
                  <c:v>203.74537771973695</c:v>
                </c:pt>
                <c:pt idx="4" formatCode="0.00">
                  <c:v>203.22790720779005</c:v>
                </c:pt>
                <c:pt idx="5" formatCode="0.00">
                  <c:v>208.39523035692929</c:v>
                </c:pt>
                <c:pt idx="6">
                  <c:v>205</c:v>
                </c:pt>
              </c:numCache>
            </c:numRef>
          </c:xVal>
          <c:yVal>
            <c:numRef>
              <c:f>Tabel!$J$122:$J$128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D02-480B-A66E-AE06BC56953C}"/>
            </c:ext>
          </c:extLst>
        </c:ser>
        <c:ser>
          <c:idx val="9"/>
          <c:order val="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02-480B-A66E-AE06BC56953C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D02-480B-A66E-AE06BC56953C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CA54684D-253D-43C0-873B-3B16E71A274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{CA54684D-253D-43C0-873B-3B16E71A2741}</c15:txfldGUID>
                      <c15:f>Tabel!$C$123</c15:f>
                      <c15:dlblFieldTableCache>
                        <c:ptCount val="1"/>
                        <c:pt idx="0">
                          <c:v>-3,06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D02-480B-A66E-AE06BC5695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D3EE0D-7265-4B81-A843-8E7FED77F45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{F5D3EE0D-7265-4B81-A843-8E7FED77F459}</c15:txfldGUID>
                      <c15:f>Tabel!$C$124</c15:f>
                      <c15:dlblFieldTableCache>
                        <c:ptCount val="1"/>
                        <c:pt idx="0">
                          <c:v>-2,27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D02-480B-A66E-AE06BC56953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0CDFCA8-0ABF-4297-88C9-915D8D63993B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{A0CDFCA8-0ABF-4297-88C9-915D8D63993B}</c15:txfldGUID>
                      <c15:f>Tabel!$C$125</c15:f>
                      <c15:dlblFieldTableCache>
                        <c:ptCount val="1"/>
                        <c:pt idx="0">
                          <c:v>-3,21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D02-480B-A66E-AE06BC5695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1E0F9D-FD27-46ED-9FF5-DB732368B4E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{4C1E0F9D-FD27-46ED-9FF5-DB732368B4EE}</c15:txfldGUID>
                      <c15:f>Tabel!$C$126</c15:f>
                      <c15:dlblFieldTableCache>
                        <c:ptCount val="1"/>
                        <c:pt idx="0">
                          <c:v>6,14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D02-480B-A66E-AE06BC569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Tabel!$K$122:$K$128</c:f>
              <c:numCache>
                <c:formatCode>General</c:formatCode>
                <c:ptCount val="7"/>
                <c:pt idx="0">
                  <c:v>295</c:v>
                </c:pt>
                <c:pt idx="1">
                  <c:v>295</c:v>
                </c:pt>
                <c:pt idx="2" formatCode="0.00">
                  <c:v>289.31758734782557</c:v>
                </c:pt>
                <c:pt idx="3" formatCode="0.00">
                  <c:v>290.78185728524204</c:v>
                </c:pt>
                <c:pt idx="4" formatCode="0.00">
                  <c:v>289.04207910306809</c:v>
                </c:pt>
                <c:pt idx="5" formatCode="0.00">
                  <c:v>306.41504213682845</c:v>
                </c:pt>
                <c:pt idx="6">
                  <c:v>295</c:v>
                </c:pt>
              </c:numCache>
            </c:numRef>
          </c:xVal>
          <c:yVal>
            <c:numRef>
              <c:f>Tabel!$L$122:$L$128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D02-480B-A66E-AE06BC56953C}"/>
            </c:ext>
          </c:extLst>
        </c:ser>
        <c:ser>
          <c:idx val="11"/>
          <c:order val="6"/>
          <c:tx>
            <c:strRef>
              <c:f>Tabel!$Q$2</c:f>
              <c:strCache>
                <c:ptCount val="1"/>
                <c:pt idx="0">
                  <c:v>H'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Tabel!$T$2:$T$3</c:f>
              <c:numCache>
                <c:formatCode>0.000</c:formatCode>
                <c:ptCount val="2"/>
                <c:pt idx="0">
                  <c:v>-50</c:v>
                </c:pt>
                <c:pt idx="1">
                  <c:v>-15.238095238095239</c:v>
                </c:pt>
              </c:numCache>
            </c:numRef>
          </c:xVal>
          <c:yVal>
            <c:numRef>
              <c:f>Tabel!$U$2:$U$3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D02-480B-A66E-AE06BC56953C}"/>
            </c:ext>
          </c:extLst>
        </c:ser>
        <c:ser>
          <c:idx val="12"/>
          <c:order val="7"/>
          <c:tx>
            <c:strRef>
              <c:f>Tabel!$Q$4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Tabel!$T$4:$T$5</c:f>
              <c:numCache>
                <c:formatCode>0.000</c:formatCode>
                <c:ptCount val="2"/>
                <c:pt idx="0">
                  <c:v>15.238095238095239</c:v>
                </c:pt>
                <c:pt idx="1">
                  <c:v>50</c:v>
                </c:pt>
              </c:numCache>
            </c:numRef>
          </c:xVal>
          <c:yVal>
            <c:numRef>
              <c:f>Tabel!$U$4:$U$5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D02-480B-A66E-AE06BC56953C}"/>
            </c:ext>
          </c:extLst>
        </c:ser>
        <c:ser>
          <c:idx val="13"/>
          <c:order val="8"/>
          <c:tx>
            <c:strRef>
              <c:f>Tabel!$Q$6</c:f>
              <c:strCache>
                <c:ptCount val="1"/>
                <c:pt idx="0">
                  <c:v>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Tabel!$T$6:$T$7</c:f>
              <c:numCache>
                <c:formatCode>0.000</c:formatCode>
                <c:ptCount val="2"/>
                <c:pt idx="0">
                  <c:v>-50</c:v>
                </c:pt>
                <c:pt idx="1">
                  <c:v>50</c:v>
                </c:pt>
              </c:numCache>
            </c:numRef>
          </c:xVal>
          <c:yVal>
            <c:numRef>
              <c:f>Tabel!$U$6:$U$7</c:f>
              <c:numCache>
                <c:formatCode>0.000</c:formatCode>
                <c:ptCount val="2"/>
                <c:pt idx="0">
                  <c:v>61.904761904761905</c:v>
                </c:pt>
                <c:pt idx="1">
                  <c:v>61.904761904761905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D02-480B-A66E-AE06BC56953C}"/>
            </c:ext>
          </c:extLst>
        </c:ser>
        <c:ser>
          <c:idx val="10"/>
          <c:order val="9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D02-480B-A66E-AE06BC56953C}"/>
              </c:ext>
            </c:extLst>
          </c:dPt>
          <c:dPt>
            <c:idx val="3"/>
            <c:marker>
              <c:symbol val="circle"/>
              <c:size val="4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D02-480B-A66E-AE06BC56953C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D02-480B-A66E-AE06BC56953C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D02-480B-A66E-AE06BC56953C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F1685967-BCC7-45B9-96F9-89D682A56D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{F1685967-BCC7-45B9-96F9-89D682A56D81}</c15:txfldGUID>
                      <c15:f>Tabel!$E$123</c15:f>
                      <c15:dlblFieldTableCache>
                        <c:ptCount val="1"/>
                        <c:pt idx="0">
                          <c:v>-3,97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D02-480B-A66E-AE06BC56953C}"/>
                </c:ext>
              </c:extLst>
            </c:dLbl>
            <c:dLbl>
              <c:idx val="3"/>
              <c:layout>
                <c:manualLayout>
                  <c:x val="-5.9463516398493656E-2"/>
                  <c:y val="7.7611111111111075E-2"/>
                </c:manualLayout>
              </c:layout>
              <c:tx>
                <c:rich>
                  <a:bodyPr/>
                  <a:lstStyle/>
                  <a:p>
                    <a:fld id="{249128E9-404F-492C-8B98-936295B2519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{249128E9-404F-492C-8B98-936295B25191}</c15:txfldGUID>
                      <c15:f>Tabel!$E$124</c15:f>
                      <c15:dlblFieldTableCache>
                        <c:ptCount val="1"/>
                        <c:pt idx="0">
                          <c:v>-2,95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D02-480B-A66E-AE06BC56953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44768F-F07D-491D-9827-C2FBDCB5BD3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{E044768F-F07D-491D-9827-C2FBDCB5BD38}</c15:txfldGUID>
                      <c15:f>Tabel!$E$125</c15:f>
                      <c15:dlblFieldTableCache>
                        <c:ptCount val="1"/>
                        <c:pt idx="0">
                          <c:v>-14,93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D02-480B-A66E-AE06BC5695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7760F19-E95B-48C1-BC58-8CBCBA8EB5B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{F7760F19-E95B-48C1-BC58-8CBCBA8EB5B0}</c15:txfldGUID>
                      <c15:f>Tabel!$E$126</c15:f>
                      <c15:dlblFieldTableCache>
                        <c:ptCount val="1"/>
                        <c:pt idx="0">
                          <c:v>-1,46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D02-480B-A66E-AE06BC569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Tabel!$M$122:$M$128</c:f>
              <c:numCache>
                <c:formatCode>General</c:formatCode>
                <c:ptCount val="7"/>
                <c:pt idx="0">
                  <c:v>415</c:v>
                </c:pt>
                <c:pt idx="1">
                  <c:v>415</c:v>
                </c:pt>
                <c:pt idx="2" formatCode="0.00">
                  <c:v>409.78030850223286</c:v>
                </c:pt>
                <c:pt idx="3" formatCode="0.00">
                  <c:v>411.12534234799625</c:v>
                </c:pt>
                <c:pt idx="4" formatCode="0.00">
                  <c:v>387.26998631085809</c:v>
                </c:pt>
                <c:pt idx="5" formatCode="0.00">
                  <c:v>412.28868370535582</c:v>
                </c:pt>
                <c:pt idx="6">
                  <c:v>415</c:v>
                </c:pt>
              </c:numCache>
            </c:numRef>
          </c:xVal>
          <c:yVal>
            <c:numRef>
              <c:f>Tabel!$N$122:$N$128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D02-480B-A66E-AE06BC56953C}"/>
            </c:ext>
          </c:extLst>
        </c:ser>
        <c:ser>
          <c:idx val="5"/>
          <c:order val="1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Tabel!$K$111:$K$112</c:f>
              <c:numCache>
                <c:formatCode>General</c:formatCode>
                <c:ptCount val="2"/>
                <c:pt idx="0">
                  <c:v>160</c:v>
                </c:pt>
                <c:pt idx="1">
                  <c:v>150</c:v>
                </c:pt>
              </c:numCache>
            </c:numRef>
          </c:xVal>
          <c:yVal>
            <c:numRef>
              <c:f>Tabel!$L$111:$L$112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D02-480B-A66E-AE06BC56953C}"/>
            </c:ext>
          </c:extLst>
        </c:ser>
        <c:ser>
          <c:idx val="6"/>
          <c:order val="1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Tabel!$K$113:$K$114</c:f>
              <c:numCache>
                <c:formatCode>General</c:formatCode>
                <c:ptCount val="2"/>
                <c:pt idx="0">
                  <c:v>155</c:v>
                </c:pt>
                <c:pt idx="1">
                  <c:v>155</c:v>
                </c:pt>
              </c:numCache>
            </c:numRef>
          </c:xVal>
          <c:yVal>
            <c:numRef>
              <c:f>Tabel!$L$113:$L$114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D02-480B-A66E-AE06BC56953C}"/>
            </c:ext>
          </c:extLst>
        </c:ser>
        <c:ser>
          <c:idx val="7"/>
          <c:order val="12"/>
          <c:tx>
            <c:strRef>
              <c:f>Tabel!$M$111:$M$112</c:f>
              <c:strCache>
                <c:ptCount val="2"/>
                <c:pt idx="0">
                  <c:v>250</c:v>
                </c:pt>
                <c:pt idx="1">
                  <c:v>240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Tabel!$M$111:$M$112</c:f>
              <c:numCache>
                <c:formatCode>General</c:formatCode>
                <c:ptCount val="2"/>
                <c:pt idx="0">
                  <c:v>250</c:v>
                </c:pt>
                <c:pt idx="1">
                  <c:v>240</c:v>
                </c:pt>
              </c:numCache>
            </c:numRef>
          </c:xVal>
          <c:yVal>
            <c:numRef>
              <c:f>Tabel!$N$111:$N$112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D02-480B-A66E-AE06BC56953C}"/>
            </c:ext>
          </c:extLst>
        </c:ser>
        <c:ser>
          <c:idx val="8"/>
          <c:order val="1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Tabel!$M$113:$M$114</c:f>
              <c:numCache>
                <c:formatCode>General</c:formatCode>
                <c:ptCount val="2"/>
                <c:pt idx="0">
                  <c:v>245</c:v>
                </c:pt>
                <c:pt idx="1">
                  <c:v>245</c:v>
                </c:pt>
              </c:numCache>
            </c:numRef>
          </c:xVal>
          <c:yVal>
            <c:numRef>
              <c:f>Tabel!$N$113:$N$114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D02-480B-A66E-AE06BC56953C}"/>
            </c:ext>
          </c:extLst>
        </c:ser>
        <c:ser>
          <c:idx val="14"/>
          <c:order val="1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Tabel!$O$111:$O$112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Tabel!$P$111:$P$112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4D02-480B-A66E-AE06BC56953C}"/>
            </c:ext>
          </c:extLst>
        </c:ser>
        <c:ser>
          <c:idx val="15"/>
          <c:order val="1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Tabel!$O$113:$O$114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Tabel!$P$113:$P$114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4D02-480B-A66E-AE06BC569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43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7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GAYA DALAM BIDANG</a:t>
            </a:r>
            <a:r>
              <a:rPr lang="en-US" sz="1600" b="1" baseline="0"/>
              <a:t> MOMEN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'Input (2) &amp; Process (1)'!$U$167</c:f>
              <c:strCache>
                <c:ptCount val="1"/>
                <c:pt idx="0">
                  <c:v>LAYAN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(1)'!$U$169:$U$189</c:f>
              <c:numCache>
                <c:formatCode>0.00</c:formatCode>
                <c:ptCount val="21"/>
                <c:pt idx="0">
                  <c:v>0</c:v>
                </c:pt>
                <c:pt idx="1">
                  <c:v>535.86330720531771</c:v>
                </c:pt>
                <c:pt idx="2">
                  <c:v>1047.5874852642141</c:v>
                </c:pt>
                <c:pt idx="3">
                  <c:v>1535.1725341766894</c:v>
                </c:pt>
                <c:pt idx="4">
                  <c:v>1998.6184539427434</c:v>
                </c:pt>
                <c:pt idx="5">
                  <c:v>2437.9252445623756</c:v>
                </c:pt>
                <c:pt idx="6">
                  <c:v>2853.0929060355879</c:v>
                </c:pt>
                <c:pt idx="7">
                  <c:v>3244.1214383623783</c:v>
                </c:pt>
                <c:pt idx="8">
                  <c:v>3611.0108415427467</c:v>
                </c:pt>
                <c:pt idx="9">
                  <c:v>3953.7611155766945</c:v>
                </c:pt>
                <c:pt idx="10">
                  <c:v>4272.3722604642217</c:v>
                </c:pt>
                <c:pt idx="11">
                  <c:v>4566.8442762053255</c:v>
                </c:pt>
                <c:pt idx="12">
                  <c:v>4837.1771628000097</c:v>
                </c:pt>
                <c:pt idx="13">
                  <c:v>5083.3709202482723</c:v>
                </c:pt>
                <c:pt idx="14">
                  <c:v>5305.4255485501144</c:v>
                </c:pt>
                <c:pt idx="15">
                  <c:v>5503.341047705534</c:v>
                </c:pt>
                <c:pt idx="16">
                  <c:v>5677.117417714534</c:v>
                </c:pt>
                <c:pt idx="17">
                  <c:v>5826.7546585771097</c:v>
                </c:pt>
                <c:pt idx="18">
                  <c:v>5952.2527702932675</c:v>
                </c:pt>
                <c:pt idx="19">
                  <c:v>6053.6117528630029</c:v>
                </c:pt>
                <c:pt idx="20">
                  <c:v>6130.8316062863178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68-4BCF-9A95-2E9066048873}"/>
            </c:ext>
          </c:extLst>
        </c:ser>
        <c:ser>
          <c:idx val="1"/>
          <c:order val="1"/>
          <c:tx>
            <c:strRef>
              <c:f>'Input (2) &amp; Process (1)'!$V$167</c:f>
              <c:strCache>
                <c:ptCount val="1"/>
                <c:pt idx="0">
                  <c:v>KUAT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(1)'!$V$169:$V$189</c:f>
              <c:numCache>
                <c:formatCode>0.00</c:formatCode>
                <c:ptCount val="21"/>
                <c:pt idx="0">
                  <c:v>0</c:v>
                </c:pt>
                <c:pt idx="1">
                  <c:v>1036.0615950780434</c:v>
                </c:pt>
                <c:pt idx="2">
                  <c:v>2025.0056991228635</c:v>
                </c:pt>
                <c:pt idx="3">
                  <c:v>2966.8323121344602</c:v>
                </c:pt>
                <c:pt idx="4">
                  <c:v>3861.5414341128326</c:v>
                </c:pt>
                <c:pt idx="5">
                  <c:v>4709.1330650579821</c:v>
                </c:pt>
                <c:pt idx="6">
                  <c:v>5509.6072049699087</c:v>
                </c:pt>
                <c:pt idx="7">
                  <c:v>6262.9638538486106</c:v>
                </c:pt>
                <c:pt idx="8">
                  <c:v>6969.2030116940905</c:v>
                </c:pt>
                <c:pt idx="9">
                  <c:v>7628.3246785063466</c:v>
                </c:pt>
                <c:pt idx="10">
                  <c:v>8240.3288542853788</c:v>
                </c:pt>
                <c:pt idx="11">
                  <c:v>8805.2155390311855</c:v>
                </c:pt>
                <c:pt idx="12">
                  <c:v>9322.984732743771</c:v>
                </c:pt>
                <c:pt idx="13">
                  <c:v>9793.6364354231337</c:v>
                </c:pt>
                <c:pt idx="14">
                  <c:v>10217.170647069273</c:v>
                </c:pt>
                <c:pt idx="15">
                  <c:v>10593.587367682187</c:v>
                </c:pt>
                <c:pt idx="16">
                  <c:v>10922.886597261881</c:v>
                </c:pt>
                <c:pt idx="17">
                  <c:v>11205.068335808346</c:v>
                </c:pt>
                <c:pt idx="18">
                  <c:v>11440.132583321592</c:v>
                </c:pt>
                <c:pt idx="19">
                  <c:v>11628.079339801612</c:v>
                </c:pt>
                <c:pt idx="20">
                  <c:v>11768.908605248413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68-4BCF-9A95-2E9066048873}"/>
            </c:ext>
          </c:extLst>
        </c:ser>
        <c:ser>
          <c:idx val="2"/>
          <c:order val="2"/>
          <c:tx>
            <c:strRef>
              <c:f>'Input (2) &amp; Process (1)'!$W$167</c:f>
              <c:strCache>
                <c:ptCount val="1"/>
                <c:pt idx="0">
                  <c:v>KUAT 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(1)'!$W$169:$W$189</c:f>
              <c:numCache>
                <c:formatCode>0.00</c:formatCode>
                <c:ptCount val="21"/>
                <c:pt idx="0">
                  <c:v>0</c:v>
                </c:pt>
                <c:pt idx="1">
                  <c:v>896.36522953800204</c:v>
                </c:pt>
                <c:pt idx="2">
                  <c:v>1751.4404680427806</c:v>
                </c:pt>
                <c:pt idx="3">
                  <c:v>2565.2257155143361</c:v>
                </c:pt>
                <c:pt idx="4">
                  <c:v>3337.7209719526672</c:v>
                </c:pt>
                <c:pt idx="5">
                  <c:v>4068.9262373577758</c:v>
                </c:pt>
                <c:pt idx="6">
                  <c:v>4758.8415117296609</c:v>
                </c:pt>
                <c:pt idx="7">
                  <c:v>5407.4667950683215</c:v>
                </c:pt>
                <c:pt idx="8">
                  <c:v>6014.8020873737605</c:v>
                </c:pt>
                <c:pt idx="9">
                  <c:v>6580.8473886459742</c:v>
                </c:pt>
                <c:pt idx="10">
                  <c:v>7105.6026988849653</c:v>
                </c:pt>
                <c:pt idx="11">
                  <c:v>7589.0680180907311</c:v>
                </c:pt>
                <c:pt idx="12">
                  <c:v>8031.2433462632753</c:v>
                </c:pt>
                <c:pt idx="13">
                  <c:v>8432.1286834025959</c:v>
                </c:pt>
                <c:pt idx="14">
                  <c:v>8791.724029508694</c:v>
                </c:pt>
                <c:pt idx="15">
                  <c:v>9110.0293845815668</c:v>
                </c:pt>
                <c:pt idx="16">
                  <c:v>9387.0447486212179</c:v>
                </c:pt>
                <c:pt idx="17">
                  <c:v>9622.7701216276437</c:v>
                </c:pt>
                <c:pt idx="18">
                  <c:v>9817.2055036008478</c:v>
                </c:pt>
                <c:pt idx="19">
                  <c:v>9970.3508945408266</c:v>
                </c:pt>
                <c:pt idx="20">
                  <c:v>10082.206294447586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468-4BCF-9A95-2E9066048873}"/>
            </c:ext>
          </c:extLst>
        </c:ser>
        <c:ser>
          <c:idx val="3"/>
          <c:order val="3"/>
          <c:tx>
            <c:strRef>
              <c:f>'Input (2) &amp; Process (1)'!$X$167</c:f>
              <c:strCache>
                <c:ptCount val="1"/>
                <c:pt idx="0">
                  <c:v>KUAT 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(1)'!$X$169:$X$189</c:f>
              <c:numCache>
                <c:formatCode>0.00</c:formatCode>
                <c:ptCount val="21"/>
                <c:pt idx="0">
                  <c:v>0</c:v>
                </c:pt>
                <c:pt idx="1">
                  <c:v>637.47239844885689</c:v>
                </c:pt>
                <c:pt idx="2">
                  <c:v>1242.2539046695672</c:v>
                </c:pt>
                <c:pt idx="3">
                  <c:v>1814.3445186621311</c:v>
                </c:pt>
                <c:pt idx="4">
                  <c:v>2353.7442404265485</c:v>
                </c:pt>
                <c:pt idx="5">
                  <c:v>2860.4530699628194</c:v>
                </c:pt>
                <c:pt idx="6">
                  <c:v>3334.4710072709436</c:v>
                </c:pt>
                <c:pt idx="7">
                  <c:v>3775.7980523509209</c:v>
                </c:pt>
                <c:pt idx="8">
                  <c:v>4184.4342052027532</c:v>
                </c:pt>
                <c:pt idx="9">
                  <c:v>4560.3794658264378</c:v>
                </c:pt>
                <c:pt idx="10">
                  <c:v>4903.633834221976</c:v>
                </c:pt>
                <c:pt idx="11">
                  <c:v>5214.197310389367</c:v>
                </c:pt>
                <c:pt idx="12">
                  <c:v>5492.0698943286116</c:v>
                </c:pt>
                <c:pt idx="13">
                  <c:v>5737.2515860397125</c:v>
                </c:pt>
                <c:pt idx="14">
                  <c:v>5949.7423855226643</c:v>
                </c:pt>
                <c:pt idx="15">
                  <c:v>6129.5422927774689</c:v>
                </c:pt>
                <c:pt idx="16">
                  <c:v>6276.6513078041289</c:v>
                </c:pt>
                <c:pt idx="17">
                  <c:v>6391.0694306026417</c:v>
                </c:pt>
                <c:pt idx="18">
                  <c:v>6472.796661173008</c:v>
                </c:pt>
                <c:pt idx="19">
                  <c:v>6521.8329995152271</c:v>
                </c:pt>
                <c:pt idx="20">
                  <c:v>6538.1784456293026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468-4BCF-9A95-2E9066048873}"/>
            </c:ext>
          </c:extLst>
        </c:ser>
        <c:ser>
          <c:idx val="4"/>
          <c:order val="4"/>
          <c:tx>
            <c:strRef>
              <c:f>'Input (2) &amp; Process (1)'!$Y$167</c:f>
              <c:strCache>
                <c:ptCount val="1"/>
                <c:pt idx="0">
                  <c:v>KUAT 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(1)'!$Y$169:$Y$189</c:f>
              <c:numCache>
                <c:formatCode>0.00</c:formatCode>
                <c:ptCount val="21"/>
                <c:pt idx="0">
                  <c:v>0</c:v>
                </c:pt>
                <c:pt idx="1">
                  <c:v>1007.4534600000002</c:v>
                </c:pt>
                <c:pt idx="2">
                  <c:v>1963.2426400000004</c:v>
                </c:pt>
                <c:pt idx="3">
                  <c:v>2867.3675400000006</c:v>
                </c:pt>
                <c:pt idx="4">
                  <c:v>3719.8281600000005</c:v>
                </c:pt>
                <c:pt idx="5">
                  <c:v>4520.6245000000008</c:v>
                </c:pt>
                <c:pt idx="6">
                  <c:v>5269.7565600000007</c:v>
                </c:pt>
                <c:pt idx="7">
                  <c:v>5967.2243400000007</c:v>
                </c:pt>
                <c:pt idx="8">
                  <c:v>6613.0278400000016</c:v>
                </c:pt>
                <c:pt idx="9">
                  <c:v>7207.1670600000016</c:v>
                </c:pt>
                <c:pt idx="10">
                  <c:v>7749.6420000000016</c:v>
                </c:pt>
                <c:pt idx="11">
                  <c:v>8240.4526600000008</c:v>
                </c:pt>
                <c:pt idx="12">
                  <c:v>8679.599040000001</c:v>
                </c:pt>
                <c:pt idx="13">
                  <c:v>9067.0811400000021</c:v>
                </c:pt>
                <c:pt idx="14">
                  <c:v>9402.8989600000023</c:v>
                </c:pt>
                <c:pt idx="15">
                  <c:v>9687.0525000000016</c:v>
                </c:pt>
                <c:pt idx="16">
                  <c:v>9919.5417600000019</c:v>
                </c:pt>
                <c:pt idx="17">
                  <c:v>10100.366740000001</c:v>
                </c:pt>
                <c:pt idx="18">
                  <c:v>10229.527440000002</c:v>
                </c:pt>
                <c:pt idx="19">
                  <c:v>10307.023860000001</c:v>
                </c:pt>
                <c:pt idx="20">
                  <c:v>10332.856000000003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468-4BCF-9A95-2E9066048873}"/>
            </c:ext>
          </c:extLst>
        </c:ser>
        <c:ser>
          <c:idx val="5"/>
          <c:order val="5"/>
          <c:tx>
            <c:strRef>
              <c:f>'Input (2) &amp; Process (1)'!$Z$167</c:f>
              <c:strCache>
                <c:ptCount val="1"/>
                <c:pt idx="0">
                  <c:v>KUAT 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(1)'!$Z$169:$Z$189</c:f>
              <c:numCache>
                <c:formatCode>0.00</c:formatCode>
                <c:ptCount val="21"/>
                <c:pt idx="0">
                  <c:v>0</c:v>
                </c:pt>
                <c:pt idx="1">
                  <c:v>487.79664966242871</c:v>
                </c:pt>
                <c:pt idx="2">
                  <c:v>950.57808652165591</c:v>
                </c:pt>
                <c:pt idx="3">
                  <c:v>1388.3443105776821</c:v>
                </c:pt>
                <c:pt idx="4">
                  <c:v>1801.095321830506</c:v>
                </c:pt>
                <c:pt idx="5">
                  <c:v>2188.8311202801287</c:v>
                </c:pt>
                <c:pt idx="6">
                  <c:v>2551.5517059265503</c:v>
                </c:pt>
                <c:pt idx="7">
                  <c:v>2889.25707876977</c:v>
                </c:pt>
                <c:pt idx="8">
                  <c:v>3201.9472388097893</c:v>
                </c:pt>
                <c:pt idx="9">
                  <c:v>3489.6221860466057</c:v>
                </c:pt>
                <c:pt idx="10">
                  <c:v>3752.2819204802213</c:v>
                </c:pt>
                <c:pt idx="11">
                  <c:v>3989.9264421106341</c:v>
                </c:pt>
                <c:pt idx="12">
                  <c:v>4202.5557509378468</c:v>
                </c:pt>
                <c:pt idx="13">
                  <c:v>4390.1698469618586</c:v>
                </c:pt>
                <c:pt idx="14">
                  <c:v>4552.7687301826691</c:v>
                </c:pt>
                <c:pt idx="15">
                  <c:v>4690.3524006002763</c:v>
                </c:pt>
                <c:pt idx="16">
                  <c:v>4802.920858214683</c:v>
                </c:pt>
                <c:pt idx="17">
                  <c:v>4890.4741030258874</c:v>
                </c:pt>
                <c:pt idx="18">
                  <c:v>4953.0121350338923</c:v>
                </c:pt>
                <c:pt idx="19">
                  <c:v>4990.5349542386939</c:v>
                </c:pt>
                <c:pt idx="20">
                  <c:v>5003.0425606402969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468-4BCF-9A95-2E9066048873}"/>
            </c:ext>
          </c:extLst>
        </c:ser>
        <c:ser>
          <c:idx val="6"/>
          <c:order val="6"/>
          <c:tx>
            <c:strRef>
              <c:f>'Input (2) &amp; Process (1)'!$AA$167</c:f>
              <c:strCache>
                <c:ptCount val="1"/>
                <c:pt idx="0">
                  <c:v>ENVE KUAT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'Input (2) &amp; Process (1)'!$M$169:$M$189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(1)'!$AA$169:$AA$189</c:f>
              <c:numCache>
                <c:formatCode>0.00</c:formatCode>
                <c:ptCount val="21"/>
                <c:pt idx="0">
                  <c:v>0</c:v>
                </c:pt>
                <c:pt idx="1">
                  <c:v>1036.0615950780434</c:v>
                </c:pt>
                <c:pt idx="2">
                  <c:v>2025.0056991228635</c:v>
                </c:pt>
                <c:pt idx="3">
                  <c:v>2966.8323121344602</c:v>
                </c:pt>
                <c:pt idx="4">
                  <c:v>3861.5414341128326</c:v>
                </c:pt>
                <c:pt idx="5">
                  <c:v>4709.1330650579821</c:v>
                </c:pt>
                <c:pt idx="6">
                  <c:v>5509.6072049699087</c:v>
                </c:pt>
                <c:pt idx="7">
                  <c:v>6262.9638538486106</c:v>
                </c:pt>
                <c:pt idx="8">
                  <c:v>6969.2030116940905</c:v>
                </c:pt>
                <c:pt idx="9">
                  <c:v>7628.3246785063466</c:v>
                </c:pt>
                <c:pt idx="10">
                  <c:v>8240.3288542853788</c:v>
                </c:pt>
                <c:pt idx="11">
                  <c:v>8805.2155390311855</c:v>
                </c:pt>
                <c:pt idx="12">
                  <c:v>9322.984732743771</c:v>
                </c:pt>
                <c:pt idx="13">
                  <c:v>9793.6364354231337</c:v>
                </c:pt>
                <c:pt idx="14">
                  <c:v>10217.170647069273</c:v>
                </c:pt>
                <c:pt idx="15">
                  <c:v>10593.587367682187</c:v>
                </c:pt>
                <c:pt idx="16">
                  <c:v>10922.886597261881</c:v>
                </c:pt>
                <c:pt idx="17">
                  <c:v>11205.068335808346</c:v>
                </c:pt>
                <c:pt idx="18">
                  <c:v>11440.132583321592</c:v>
                </c:pt>
                <c:pt idx="19">
                  <c:v>11628.079339801612</c:v>
                </c:pt>
                <c:pt idx="20">
                  <c:v>11768.908605248413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468-4BCF-9A95-2E9066048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087120"/>
        <c:axId val="1878090032"/>
      </c:scatterChart>
      <c:valAx>
        <c:axId val="1878087120"/>
        <c:scaling>
          <c:orientation val="minMax"/>
          <c:max val="2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Jarak</a:t>
                </a:r>
                <a:r>
                  <a:rPr lang="en-US" b="1" baseline="0"/>
                  <a:t> dari tepi, m</a:t>
                </a:r>
                <a:endParaRPr lang="id-ID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90032"/>
        <c:crosses val="autoZero"/>
        <c:crossBetween val="midCat"/>
      </c:valAx>
      <c:valAx>
        <c:axId val="1878090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/>
                  <a:t>Gaya</a:t>
                </a:r>
                <a:r>
                  <a:rPr lang="en-US" b="1" i="0" baseline="0"/>
                  <a:t> Momen, kN.m</a:t>
                </a:r>
                <a:endParaRPr lang="id-ID" b="1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87120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 Kehilangan Gaya</a:t>
            </a:r>
            <a:r>
              <a:rPr lang="en-ID" baseline="0"/>
              <a:t> Prategang</a:t>
            </a:r>
            <a:endParaRPr lang="en-ID"/>
          </a:p>
        </c:rich>
      </c:tx>
      <c:layout>
        <c:manualLayout>
          <c:xMode val="edge"/>
          <c:yMode val="edge"/>
          <c:x val="0.22693744531933507"/>
          <c:y val="2.9931972789115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72003499562555"/>
          <c:y val="0.13629931972789117"/>
          <c:w val="0.76172440944881892"/>
          <c:h val="0.83376870748299325"/>
        </c:manualLayout>
      </c:layout>
      <c:scatterChart>
        <c:scatterStyle val="lineMarker"/>
        <c:varyColors val="0"/>
        <c:ser>
          <c:idx val="1"/>
          <c:order val="0"/>
          <c:tx>
            <c:v>Grafik kehilangan gaya prategang</c:v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'Input (3) &amp; Process (4)'!$J$123:$J$127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'Input (3) &amp; Process (4)'!$H$123:$H$127</c:f>
              <c:numCache>
                <c:formatCode>0.000</c:formatCode>
                <c:ptCount val="5"/>
                <c:pt idx="0">
                  <c:v>9905.5396910481722</c:v>
                </c:pt>
                <c:pt idx="1">
                  <c:v>9608.3735003167276</c:v>
                </c:pt>
                <c:pt idx="2">
                  <c:v>9416.8127703820446</c:v>
                </c:pt>
                <c:pt idx="3">
                  <c:v>8901.7660267627289</c:v>
                </c:pt>
                <c:pt idx="4">
                  <c:v>7579.4128750556474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7D-4F0F-8AE9-68C3D3A48054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7C86BF2-F42D-45F6-B5B3-7FB61899A70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{D7C86BF2-F42D-45F6-B5B3-7FB61899A705}</c15:txfldGUID>
                      <c15:f>'Input (3) &amp; Process (4)'!$I$123</c15:f>
                      <c15:dlblFieldTableCache>
                        <c:ptCount val="1"/>
                        <c:pt idx="0">
                          <c:v>100,0%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17D-4F0F-8AE9-68C3D3A480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3122C3C-6D02-44C2-9D38-4A07F3D112C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{93122C3C-6D02-44C2-9D38-4A07F3D112C9}</c15:txfldGUID>
                      <c15:f>'Input (3) &amp; Process (4)'!$I$124</c15:f>
                      <c15:dlblFieldTableCache>
                        <c:ptCount val="1"/>
                        <c:pt idx="0">
                          <c:v>97,0%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17D-4F0F-8AE9-68C3D3A480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C22BF8B-96DC-409C-8720-914603E2B2B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{2C22BF8B-96DC-409C-8720-914603E2B2B4}</c15:txfldGUID>
                      <c15:f>'Input (3) &amp; Process (4)'!$I$125</c15:f>
                      <c15:dlblFieldTableCache>
                        <c:ptCount val="1"/>
                        <c:pt idx="0">
                          <c:v>95,1%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817D-4F0F-8AE9-68C3D3A480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874F0B-E7ED-4A65-A6D7-9D5709562E7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{D2874F0B-E7ED-4A65-A6D7-9D5709562E79}</c15:txfldGUID>
                      <c15:f>'Input (3) &amp; Process (4)'!$I$126</c15:f>
                      <c15:dlblFieldTableCache>
                        <c:ptCount val="1"/>
                        <c:pt idx="0">
                          <c:v>89,9%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17D-4F0F-8AE9-68C3D3A480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0CD2D9E-A9F6-4ABC-B752-44A54DA45EF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{30CD2D9E-A9F6-4ABC-B752-44A54DA45EF1}</c15:txfldGUID>
                      <c15:f>'Input (3) &amp; Process (4)'!$I$127</c15:f>
                      <c15:dlblFieldTableCache>
                        <c:ptCount val="1"/>
                        <c:pt idx="0">
                          <c:v>76,5%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817D-4F0F-8AE9-68C3D3A480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(3) &amp; Process (4)'!$J$123:$J$127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'Input (3) &amp; Process (4)'!$H$123:$H$127</c:f>
              <c:numCache>
                <c:formatCode>0.000</c:formatCode>
                <c:ptCount val="5"/>
                <c:pt idx="0">
                  <c:v>9905.5396910481722</c:v>
                </c:pt>
                <c:pt idx="1">
                  <c:v>9608.3735003167276</c:v>
                </c:pt>
                <c:pt idx="2">
                  <c:v>9416.8127703820446</c:v>
                </c:pt>
                <c:pt idx="3">
                  <c:v>8901.7660267627289</c:v>
                </c:pt>
                <c:pt idx="4">
                  <c:v>7579.4128750556474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17D-4F0F-8AE9-68C3D3A48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827632"/>
        <c:axId val="843828288"/>
      </c:scatterChart>
      <c:valAx>
        <c:axId val="843827632"/>
        <c:scaling>
          <c:orientation val="minMax"/>
          <c:min val="0.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3828288"/>
        <c:crosses val="autoZero"/>
        <c:crossBetween val="midCat"/>
      </c:valAx>
      <c:valAx>
        <c:axId val="843828288"/>
        <c:scaling>
          <c:orientation val="minMax"/>
          <c:min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 Gaya Prategang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2763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F8-4BDC-B05C-6D9B8B85A7FF}"/>
            </c:ext>
          </c:extLst>
        </c:ser>
        <c:ser>
          <c:idx val="1"/>
          <c:order val="1"/>
          <c:tx>
            <c:v>P/A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6F8-4BDC-B05C-6D9B8B85A7F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6F8-4BDC-B05C-6D9B8B85A7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8-4BDC-B05C-6D9B8B85A7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F8-4BDC-B05C-6D9B8B85A7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46061E-9BDB-42A3-BE03-D3E669857DC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{1B46061E-9BDB-42A3-BE03-D3E669857DC6}</c15:txfldGUID>
                      <c15:f>Tabel!$A$63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6F8-4BDC-B05C-6D9B8B85A7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A80A964-9A10-48DE-9C0C-47B3C7F9A1C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{0A80A964-9A10-48DE-9C0C-47B3C7F9A1CA}</c15:txfldGUID>
                      <c15:f>Tabel!$A$64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6F8-4BDC-B05C-6D9B8B85A7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8-4BDC-B05C-6D9B8B85A7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Tabel!$G$62:$G$66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Tabel!$H$62:$H$66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6F8-4BDC-B05C-6D9B8B85A7FF}"/>
            </c:ext>
          </c:extLst>
        </c:ser>
        <c:ser>
          <c:idx val="2"/>
          <c:order val="2"/>
          <c:tx>
            <c:v>P*es/W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F6F8-4BDC-B05C-6D9B8B85A7F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F6F8-4BDC-B05C-6D9B8B85A7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F8-4BDC-B05C-6D9B8B85A7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F8-4BDC-B05C-6D9B8B85A7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C10515-11B0-4B69-9B49-543E9BF2DDA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{E0C10515-11B0-4B69-9B49-543E9BF2DDA2}</c15:txfldGUID>
                      <c15:f>Tabel!$B$63</c15:f>
                      <c15:dlblFieldTableCache>
                        <c:ptCount val="1"/>
                        <c:pt idx="0">
                          <c:v>21,14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F6F8-4BDC-B05C-6D9B8B85A7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7173215-04FB-4E2D-B1A8-0E3AB00EA84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{F7173215-04FB-4E2D-B1A8-0E3AB00EA842}</c15:txfldGUID>
                      <c15:f>Tabel!$B$64</c15:f>
                      <c15:dlblFieldTableCache>
                        <c:ptCount val="1"/>
                        <c:pt idx="0">
                          <c:v>-19,66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F6F8-4BDC-B05C-6D9B8B85A7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F8-4BDC-B05C-6D9B8B85A7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Tabel!$I$62:$I$66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191.13822734316091</c:v>
                </c:pt>
                <c:pt idx="3" formatCode="0.00">
                  <c:v>150.3401975548926</c:v>
                </c:pt>
                <c:pt idx="4">
                  <c:v>170</c:v>
                </c:pt>
              </c:numCache>
            </c:numRef>
          </c:xVal>
          <c:yVal>
            <c:numRef>
              <c:f>Tabel!$J$62:$J$66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6F8-4BDC-B05C-6D9B8B85A7FF}"/>
            </c:ext>
          </c:extLst>
        </c:ser>
        <c:ser>
          <c:idx val="3"/>
          <c:order val="3"/>
          <c:tx>
            <c:v>M/W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6F8-4BDC-B05C-6D9B8B85A7F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6F8-4BDC-B05C-6D9B8B85A7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F8-4BDC-B05C-6D9B8B85A7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F8-4BDC-B05C-6D9B8B85A7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A859307-2CAF-400F-9D20-CFECA068226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{4A859307-2CAF-400F-9D20-CFECA068226A}</c15:txfldGUID>
                      <c15:f>Tabel!$C$63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6F8-4BDC-B05C-6D9B8B85A7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1FC9EA-A855-478D-AD4A-5B39F8CFC3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{1C1FC9EA-A855-478D-AD4A-5B39F8CFC3A6}</c15:txfldGUID>
                      <c15:f>Tabel!$C$64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F6F8-4BDC-B05C-6D9B8B85A7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F8-4BDC-B05C-6D9B8B85A7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Tabel!$K$62:$K$66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Tabel!$L$62:$L$66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6F8-4BDC-B05C-6D9B8B85A7FF}"/>
            </c:ext>
          </c:extLst>
        </c:ser>
        <c:ser>
          <c:idx val="4"/>
          <c:order val="4"/>
          <c:tx>
            <c:v>Result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6F8-4BDC-B05C-6D9B8B85A7F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6F8-4BDC-B05C-6D9B8B85A7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F8-4BDC-B05C-6D9B8B85A7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F8-4BDC-B05C-6D9B8B85A7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E8DB934-8302-4AB7-9627-258AB8BA584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{FE8DB934-8302-4AB7-9627-258AB8BA584F}</c15:txfldGUID>
                      <c15:f>Tabel!$D$63</c15:f>
                      <c15:dlblFieldTableCache>
                        <c:ptCount val="1"/>
                        <c:pt idx="0">
                          <c:v>-1,52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F6F8-4BDC-B05C-6D9B8B85A7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610926-983B-4300-8939-114DD744209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{88610926-983B-4300-8939-114DD7442093}</c15:txfldGUID>
                      <c15:f>Tabel!$D$64</c15:f>
                      <c15:dlblFieldTableCache>
                        <c:ptCount val="1"/>
                        <c:pt idx="0">
                          <c:v>-24,00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F6F8-4BDC-B05C-6D9B8B85A7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F8-4BDC-B05C-6D9B8B85A7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Tabel!$M$62:$M$66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358.48063044996701</c:v>
                </c:pt>
                <c:pt idx="3" formatCode="0.00">
                  <c:v>336</c:v>
                </c:pt>
                <c:pt idx="4">
                  <c:v>360</c:v>
                </c:pt>
              </c:numCache>
            </c:numRef>
          </c:xVal>
          <c:yVal>
            <c:numRef>
              <c:f>Tabel!$N$62:$N$66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6F8-4BDC-B05C-6D9B8B85A7FF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F6F8-4BDC-B05C-6D9B8B85A7FF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F6F8-4BDC-B05C-6D9B8B85A7FF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F6F8-4BDC-B05C-6D9B8B85A7FF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F6F8-4BDC-B05C-6D9B8B85A7FF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F6F8-4BDC-B05C-6D9B8B85A7FF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F6F8-4BDC-B05C-6D9B8B85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0E-4F04-AA86-F22B7BB206FA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B0E-4F04-AA86-F22B7BB206FA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B0E-4F04-AA86-F22B7BB206F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E-4F04-AA86-F22B7BB206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0E-4F04-AA86-F22B7BB206F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DC22B2-4AB9-4836-957C-20DF5DD59B8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{D5DC22B2-4AB9-4836-957C-20DF5DD59B80}</c15:txfldGUID>
                      <c15:f>Tabel!$R$63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B0E-4F04-AA86-F22B7BB206F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0C2C95E-AF3F-4EE5-AD68-9FB191BC3A7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{50C2C95E-AF3F-4EE5-AD68-9FB191BC3A7D}</c15:txfldGUID>
                      <c15:f>Tabel!$R$64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B0E-4F04-AA86-F22B7BB206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0E-4F04-AA86-F22B7BB206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Tabel!$X$62:$X$66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Tabel!$Y$62:$Y$66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B0E-4F04-AA86-F22B7BB206FA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B0E-4F04-AA86-F22B7BB206FA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B0E-4F04-AA86-F22B7BB206F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9BBB4F-EF40-4EB6-AEBA-469844057A0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{9E9BBB4F-EF40-4EB6-AEBA-469844057A0A}</c15:txfldGUID>
                      <c15:f>Tabel!$S$64</c15:f>
                      <c15:dlblFieldTableCache>
                        <c:ptCount val="1"/>
                        <c:pt idx="0">
                          <c:v>0,79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B0E-4F04-AA86-F22B7BB206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6E7E21-3C2F-4EE5-B68B-82D8B02137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{706E7E21-3C2F-4EE5-B68B-82D8B02137D2}</c15:txfldGUID>
                      <c15:f>Tabel!$S$63</c15:f>
                      <c15:dlblFieldTableCache>
                        <c:ptCount val="1"/>
                        <c:pt idx="0">
                          <c:v>-0,85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B0E-4F04-AA86-F22B7BB206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0E-4F04-AA86-F22B7BB206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0E-4F04-AA86-F22B7BB206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0E-4F04-AA86-F22B7BB206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Tabel!$Z$62:$Z$66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169.1460156153363</c:v>
                </c:pt>
                <c:pt idx="3" formatCode="0.00">
                  <c:v>170.79425601878233</c:v>
                </c:pt>
                <c:pt idx="4">
                  <c:v>170</c:v>
                </c:pt>
              </c:numCache>
            </c:numRef>
          </c:xVal>
          <c:yVal>
            <c:numRef>
              <c:f>Tabel!$AA$62:$AA$66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B0E-4F04-AA86-F22B7BB206FA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535345B-9B82-4FCD-ACAD-F98BEDEE021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{7535345B-9B82-4FCD-ACAD-F98BEDEE0213}</c15:txfldGUID>
                      <c15:f>Tabel!$T$64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B0E-4F04-AA86-F22B7BB206F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856669-D4E9-4A58-9EE7-996F0154CB3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{C9856669-D4E9-4A58-9EE7-996F0154CB33}</c15:txfldGUID>
                      <c15:f>Tabel!$T$63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B0E-4F04-AA86-F22B7BB206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0E-4F04-AA86-F22B7BB206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0E-4F04-AA86-F22B7BB206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0E-4F04-AA86-F22B7BB206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Tabel!$AB$62:$AB$66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Tabel!$AC$62:$AC$66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B0E-4F04-AA86-F22B7BB206FA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B0E-4F04-AA86-F22B7BB206FA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B0E-4F04-AA86-F22B7BB206F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0E-4F04-AA86-F22B7BB206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B0E-4F04-AA86-F22B7BB206F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6190DF-D449-4B0A-9FFB-F2C360024C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{EF6190DF-D449-4B0A-9FFB-F2C360024C07}</c15:txfldGUID>
                      <c15:f>Tabel!$U$63</c15:f>
                      <c15:dlblFieldTableCache>
                        <c:ptCount val="1"/>
                        <c:pt idx="0">
                          <c:v>-14,02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B0E-4F04-AA86-F22B7BB206F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8F0D99-4481-486E-AC2D-BCEBDA79149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{248F0D99-4481-486E-AC2D-BCEBDA791495}</c15:txfldGUID>
                      <c15:f>Tabel!$U$64</c15:f>
                      <c15:dlblFieldTableCache>
                        <c:ptCount val="1"/>
                        <c:pt idx="0">
                          <c:v>-12,37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B0E-4F04-AA86-F22B7BB206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B0E-4F04-AA86-F22B7BB206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Tabel!$AD$62:$AD$66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345.97900818339667</c:v>
                </c:pt>
                <c:pt idx="3" formatCode="0.00">
                  <c:v>347.62724858684271</c:v>
                </c:pt>
                <c:pt idx="4">
                  <c:v>360</c:v>
                </c:pt>
              </c:numCache>
            </c:numRef>
          </c:xVal>
          <c:yVal>
            <c:numRef>
              <c:f>Tabel!$AE$62:$AE$66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B0E-4F04-AA86-F22B7BB206FA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B0E-4F04-AA86-F22B7BB206FA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B0E-4F04-AA86-F22B7BB206FA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B0E-4F04-AA86-F22B7BB206FA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B0E-4F04-AA86-F22B7BB206FA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B0E-4F04-AA86-F22B7BB206FA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B0E-4F04-AA86-F22B7BB206FA}"/>
            </c:ext>
          </c:extLst>
        </c:ser>
        <c:ser>
          <c:idx val="11"/>
          <c:order val="1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B0E-4F04-AA86-F22B7BB206FA}"/>
            </c:ext>
          </c:extLst>
        </c:ser>
        <c:ser>
          <c:idx val="12"/>
          <c:order val="12"/>
          <c:tx>
            <c:strRef>
              <c:f>Tabel!$N$23</c:f>
              <c:strCache>
                <c:ptCount val="1"/>
                <c:pt idx="0">
                  <c:v>15,238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B0E-4F04-AA86-F22B7BB20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F1-43DA-8293-9F5ECE08FA36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2F1-43DA-8293-9F5ECE08FA3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2F1-43DA-8293-9F5ECE08FA36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EA23551-C686-4637-8AE4-521ECC7FADE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{3EA23551-C686-4637-8AE4-521ECC7FADED}</c15:txfldGUID>
                      <c15:f>Tabel!$A$83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2F1-43DA-8293-9F5ECE08FA3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F0A407-2392-40E0-9887-D3FAC5BD22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{D8F0A407-2392-40E0-9887-D3FAC5BD2207}</c15:txfldGUID>
                      <c15:f>Tabel!$A$84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2F1-43DA-8293-9F5ECE08F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Tabel!$G$82:$G$86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Tabel!$H$82:$H$86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F1-43DA-8293-9F5ECE08FA36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2F1-43DA-8293-9F5ECE08FA3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2F1-43DA-8293-9F5ECE08FA36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53A3599-974F-4A28-A774-50D9E33D2D8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{353A3599-974F-4A28-A774-50D9E33D2D8E}</c15:txfldGUID>
                      <c15:f>Tabel!$B$83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2F1-43DA-8293-9F5ECE08FA3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D9B0565-3A6B-4926-B629-8805F03BC56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{8D9B0565-3A6B-4926-B629-8805F03BC562}</c15:txfldGUID>
                      <c15:f>Tabel!$B$84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2F1-43DA-8293-9F5ECE08F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Tabel!$I$82:$I$86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Tabel!$J$82:$J$86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F1-43DA-8293-9F5ECE08FA36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2F1-43DA-8293-9F5ECE08FA3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2F1-43DA-8293-9F5ECE08FA36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235C003-D280-4F51-93F1-7B79E8CEDC1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{6235C003-D280-4F51-93F1-7B79E8CEDC19}</c15:txfldGUID>
                      <c15:f>Tabel!$C$83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2F1-43DA-8293-9F5ECE08FA3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3E9DEF-4395-48EB-A62A-679DC5200FB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{833E9DEF-4395-48EB-A62A-679DC5200FB5}</c15:txfldGUID>
                      <c15:f>Tabel!$C$84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2F1-43DA-8293-9F5ECE08F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Tabel!$K$82:$K$86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Tabel!$L$82:$L$86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F1-43DA-8293-9F5ECE08FA36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2F1-43DA-8293-9F5ECE08FA36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2F1-43DA-8293-9F5ECE08FA36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10955FD3-B98C-4577-B8BB-38E376F7CA4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{10955FD3-B98C-4577-B8BB-38E376F7CA4A}</c15:txfldGUID>
                      <c15:f>Tabel!$D$83</c15:f>
                      <c15:dlblFieldTableCache>
                        <c:ptCount val="1"/>
                        <c:pt idx="0">
                          <c:v>-3,39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2F1-43DA-8293-9F5ECE08FA3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9FCE9A-8214-405E-B49C-8169F753ECF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{299FCE9A-8214-405E-B49C-8169F753ECF6}</c15:txfldGUID>
                      <c15:f>Tabel!$D$84</c15:f>
                      <c15:dlblFieldTableCache>
                        <c:ptCount val="1"/>
                        <c:pt idx="0">
                          <c:v>-16,29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2F1-43DA-8293-9F5ECE08F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Tabel!$M$82:$M$86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356.60874169175804</c:v>
                </c:pt>
                <c:pt idx="3" formatCode="0.00">
                  <c:v>343.70874935845188</c:v>
                </c:pt>
                <c:pt idx="4">
                  <c:v>360</c:v>
                </c:pt>
              </c:numCache>
            </c:numRef>
          </c:xVal>
          <c:yVal>
            <c:numRef>
              <c:f>Tabel!$N$82:$N$86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2F1-43DA-8293-9F5ECE08FA36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2F1-43DA-8293-9F5ECE08FA36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2F1-43DA-8293-9F5ECE08FA36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2F1-43DA-8293-9F5ECE08FA36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2F1-43DA-8293-9F5ECE08FA36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2F1-43DA-8293-9F5ECE08FA36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2F1-43DA-8293-9F5ECE08F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00-453B-BC0D-6531938F4D86}"/>
            </c:ext>
          </c:extLst>
        </c:ser>
        <c:ser>
          <c:idx val="1"/>
          <c:order val="1"/>
          <c:tx>
            <c:v>dalam kiri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00-453B-BC0D-6531938F4D86}"/>
            </c:ext>
          </c:extLst>
        </c:ser>
        <c:ser>
          <c:idx val="2"/>
          <c:order val="2"/>
          <c:tx>
            <c:v>dalam kanan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00-453B-BC0D-6531938F4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6C-4490-991F-0C349EE63C1A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DDF8583B-46DD-4EA7-BA8B-3E7A451A632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{DDF8583B-46DD-4EA7-BA8B-3E7A451A6328}</c15:txfldGUID>
                      <c15:f>Tabel!$R$83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C6C-4490-991F-0C349EE63C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5C69B5B-85A5-4BD9-B87E-6CAC8344B46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{35C69B5B-85A5-4BD9-B87E-6CAC8344B464}</c15:txfldGUID>
                      <c15:f>Tabel!$R$84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C6C-4490-991F-0C349EE63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Tabel!$X$82:$X$86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Tabel!$Y$82:$Y$86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6C-4490-991F-0C349EE63C1A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7190E5A9-561D-43B8-B8A3-5FCC44E3F6D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{7190E5A9-561D-43B8-B8A3-5FCC44E3F6D0}</c15:txfldGUID>
                      <c15:f>Tabel!$S$83</c15:f>
                      <c15:dlblFieldTableCache>
                        <c:ptCount val="1"/>
                        <c:pt idx="0">
                          <c:v>-0,65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C6C-4490-991F-0C349EE63C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848AA7-17D7-4F23-8C1D-B9D94F40550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{E1848AA7-17D7-4F23-8C1D-B9D94F40550F}</c15:txfldGUID>
                      <c15:f>Tabel!$S$84</c15:f>
                      <c15:dlblFieldTableCache>
                        <c:ptCount val="1"/>
                        <c:pt idx="0">
                          <c:v>0,61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C6C-4490-991F-0C349EE63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Tabel!$Z$82:$Z$86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169.34655753829688</c:v>
                </c:pt>
                <c:pt idx="3" formatCode="0.00">
                  <c:v>170.60774016182981</c:v>
                </c:pt>
                <c:pt idx="4">
                  <c:v>170</c:v>
                </c:pt>
              </c:numCache>
            </c:numRef>
          </c:xVal>
          <c:yVal>
            <c:numRef>
              <c:f>Tabel!$AA$82:$AA$86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C6C-4490-991F-0C349EE63C1A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690759D-66E3-45B1-A2B6-5B13DC45A96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{8690759D-66E3-45B1-A2B6-5B13DC45A966}</c15:txfldGUID>
                      <c15:f>Tabel!$T$84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C6C-4490-991F-0C349EE63C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F96C33-8F14-4D01-A8A5-1720E6DC506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{ADF96C33-8F14-4D01-A8A5-1720E6DC5067}</c15:txfldGUID>
                      <c15:f>Tabel!$T$83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C6C-4490-991F-0C349EE63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Tabel!$AB$82:$AB$86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Tabel!$AC$82:$AC$86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C6C-4490-991F-0C349EE63C1A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9D1A83D3-BF12-4EA2-9CBA-8AD6DCC915A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{9D1A83D3-BF12-4EA2-9CBA-8AD6DCC915A4}</c15:txfldGUID>
                      <c15:f>Tabel!$U$83</c15:f>
                      <c15:dlblFieldTableCache>
                        <c:ptCount val="1"/>
                        <c:pt idx="0">
                          <c:v>-10,73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C6C-4490-991F-0C349EE63C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D2FD61D-9364-4421-9A16-C42D6BA6A8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{5D2FD61D-9364-4421-9A16-C42D6BA6A856}</c15:txfldGUID>
                      <c15:f>Tabel!$U$84</c15:f>
                      <c15:dlblFieldTableCache>
                        <c:ptCount val="1"/>
                        <c:pt idx="0">
                          <c:v>-9,47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C6C-4490-991F-0C349EE63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Tabel!$AD$82:$AD$86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349.27157033232101</c:v>
                </c:pt>
                <c:pt idx="3" formatCode="0.00">
                  <c:v>350.53275295585394</c:v>
                </c:pt>
                <c:pt idx="4">
                  <c:v>360</c:v>
                </c:pt>
              </c:numCache>
            </c:numRef>
          </c:xVal>
          <c:yVal>
            <c:numRef>
              <c:f>Tabel!$AE$82:$AE$86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C6C-4490-991F-0C349EE63C1A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C6C-4490-991F-0C349EE63C1A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C6C-4490-991F-0C349EE63C1A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C6C-4490-991F-0C349EE63C1A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C6C-4490-991F-0C349EE63C1A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C6C-4490-991F-0C349EE63C1A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C6C-4490-991F-0C349EE63C1A}"/>
            </c:ext>
          </c:extLst>
        </c:ser>
        <c:ser>
          <c:idx val="11"/>
          <c:order val="11"/>
          <c:tx>
            <c:strRef>
              <c:f>Tabel!$K$19</c:f>
              <c:strCache>
                <c:ptCount val="1"/>
                <c:pt idx="0">
                  <c:v>B'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C6C-4490-991F-0C349EE63C1A}"/>
            </c:ext>
          </c:extLst>
        </c:ser>
        <c:ser>
          <c:idx val="12"/>
          <c:order val="12"/>
          <c:tx>
            <c:strRef>
              <c:f>Tabel!$K$23</c:f>
              <c:strCache>
                <c:ptCount val="1"/>
                <c:pt idx="0">
                  <c:v>M'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C6C-4490-991F-0C349EE63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EE-460B-8F92-7BF6EB28605E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CEE-460B-8F92-7BF6EB28605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CEE-460B-8F92-7BF6EB28605E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D8F0948-AF58-4F5F-996A-647FF6B7A3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{3D8F0948-AF58-4F5F-996A-647FF6B7A3D2}</c15:txfldGUID>
                      <c15:f>Tabel!$A$103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CEE-460B-8F92-7BF6EB2860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FB30D5-0341-4960-A1EE-A7A576215BD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{02FB30D5-0341-4960-A1EE-A7A576215BD6}</c15:txfldGUID>
                      <c15:f>Tabel!$A$104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CEE-460B-8F92-7BF6EB286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Tabel!$G$102:$G$106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Tabel!$H$102:$H$106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EE-460B-8F92-7BF6EB28605E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CEE-460B-8F92-7BF6EB28605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CEE-460B-8F92-7BF6EB28605E}"/>
              </c:ext>
            </c:extLst>
          </c:dPt>
          <c:dLbls>
            <c:dLbl>
              <c:idx val="2"/>
              <c:layout>
                <c:manualLayout>
                  <c:x val="-1.0733923118740517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150975A-D06E-4780-A19F-B99030B26E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{6150975A-D06E-4780-A19F-B99030B26E81}</c15:txfldGUID>
                      <c15:f>Tabel!$B$103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CEE-460B-8F92-7BF6EB2860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C4FF18A-A6BD-4258-B935-3F6F6048B1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{6C4FF18A-A6BD-4258-B935-3F6F6048B1A6}</c15:txfldGUID>
                      <c15:f>Tabel!$B$104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CEE-460B-8F92-7BF6EB286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Tabel!$I$102:$I$106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Tabel!$J$102:$J$106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CEE-460B-8F92-7BF6EB28605E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CEE-460B-8F92-7BF6EB28605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3CEE-460B-8F92-7BF6EB28605E}"/>
              </c:ext>
            </c:extLst>
          </c:dPt>
          <c:dLbls>
            <c:dLbl>
              <c:idx val="2"/>
              <c:layout>
                <c:manualLayout>
                  <c:x val="-7.3505905517134984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CACB450-20F2-477E-AB63-301617E6825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{6CACB450-20F2-477E-AB63-301617E68250}</c15:txfldGUID>
                      <c15:f>Tabel!$C$103</c15:f>
                      <c15:dlblFieldTableCache>
                        <c:ptCount val="1"/>
                        <c:pt idx="0">
                          <c:v>-16,87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CEE-460B-8F92-7BF6EB2860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E9D178-09C9-413D-A6FB-DAE72AD44DAC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{85E9D178-09C9-413D-A6FB-DAE72AD44DAC}</c15:txfldGUID>
                      <c15:f>Tabel!$C$104</c15:f>
                      <c15:dlblFieldTableCache>
                        <c:ptCount val="1"/>
                        <c:pt idx="0">
                          <c:v>15,69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CEE-460B-8F92-7BF6EB286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Tabel!$K$102:$K$106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243.134429016681</c:v>
                </c:pt>
                <c:pt idx="3" formatCode="0.00">
                  <c:v>275.6859791633978</c:v>
                </c:pt>
                <c:pt idx="4">
                  <c:v>260</c:v>
                </c:pt>
              </c:numCache>
            </c:numRef>
          </c:xVal>
          <c:yVal>
            <c:numRef>
              <c:f>Tabel!$L$102:$L$106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CEE-460B-8F92-7BF6EB28605E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CEE-460B-8F92-7BF6EB28605E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EE-460B-8F92-7BF6EB28605E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49672A6A-6648-4830-8FF5-F48DBD57C65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{49672A6A-6648-4830-8FF5-F48DBD57C65A}</c15:txfldGUID>
                      <c15:f>Tabel!$D$103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CEE-460B-8F92-7BF6EB2860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C5637A-3589-4567-B548-5EBC50224E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{CAC5637A-3589-4567-B548-5EBC50224E56}</c15:txfldGUID>
                      <c15:f>Tabel!$D$104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CEE-460B-8F92-7BF6EB2860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Tabel!$M$102:$M$106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349.23376016969337</c:v>
                </c:pt>
                <c:pt idx="3" formatCode="0.00">
                  <c:v>350.56791864480266</c:v>
                </c:pt>
                <c:pt idx="4">
                  <c:v>360</c:v>
                </c:pt>
              </c:numCache>
            </c:numRef>
          </c:xVal>
          <c:yVal>
            <c:numRef>
              <c:f>Tabel!$N$102:$N$106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CEE-460B-8F92-7BF6EB28605E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CEE-460B-8F92-7BF6EB28605E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CEE-460B-8F92-7BF6EB28605E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CEE-460B-8F92-7BF6EB28605E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CEE-460B-8F92-7BF6EB28605E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CEE-460B-8F92-7BF6EB28605E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CEE-460B-8F92-7BF6EB286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BE-457B-A832-D0A8B2C0BF48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9BE-457B-A832-D0A8B2C0BF48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9BE-457B-A832-D0A8B2C0BF48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E10A558-4D13-4F77-B196-0E842426907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{6E10A558-4D13-4F77-B196-0E8424269070}</c15:txfldGUID>
                      <c15:f>Tabel!$A$123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9BE-457B-A832-D0A8B2C0BF4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B6081A1-9805-4DFC-8960-C52E30EDA9C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{BB6081A1-9805-4DFC-8960-C52E30EDA9C0}</c15:txfldGUID>
                      <c15:f>Tabel!$A$124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9BE-457B-A832-D0A8B2C0BF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Tabel!$G$124:$G$128</c:f>
              <c:numCache>
                <c:formatCode>General</c:formatCode>
                <c:ptCount val="5"/>
                <c:pt idx="0">
                  <c:v>115</c:v>
                </c:pt>
                <c:pt idx="1">
                  <c:v>115</c:v>
                </c:pt>
                <c:pt idx="2" formatCode="0.00">
                  <c:v>95</c:v>
                </c:pt>
                <c:pt idx="3" formatCode="0.00">
                  <c:v>97.478411211598086</c:v>
                </c:pt>
                <c:pt idx="4">
                  <c:v>115</c:v>
                </c:pt>
              </c:numCache>
            </c:numRef>
          </c:xVal>
          <c:yVal>
            <c:numRef>
              <c:f>Tabel!$H$124:$H$128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9BE-457B-A832-D0A8B2C0BF4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9BE-457B-A832-D0A8B2C0BF48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9BE-457B-A832-D0A8B2C0BF48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fld id="{74E94BD4-68E3-4248-91B5-1EE551E1807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{74E94BD4-68E3-4248-91B5-1EE551E18071}</c15:txfldGUID>
                      <c15:f>Tabel!$B$123</c15:f>
                      <c15:dlblFieldTableCache>
                        <c:ptCount val="1"/>
                        <c:pt idx="0">
                          <c:v>-0,91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9BE-457B-A832-D0A8B2C0BF4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80CCA6-3A4D-4FC0-BD25-5636FD066DB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{E980CCA6-3A4D-4FC0-BD25-5636FD066DB4}</c15:txfldGUID>
                      <c15:f>Tabel!$B$125</c15:f>
                      <c15:dlblFieldTableCache>
                        <c:ptCount val="1"/>
                        <c:pt idx="0">
                          <c:v>-0,95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29BE-457B-A832-D0A8B2C0BF4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ABB95EC-8FAF-40FC-BC38-03F88498D00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{EABB95EC-8FAF-40FC-BC38-03F88498D006}</c15:txfldGUID>
                      <c15:f>Tabel!$B$124</c15:f>
                      <c15:dlblFieldTableCache>
                        <c:ptCount val="1"/>
                        <c:pt idx="0">
                          <c:v>-0,68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29BE-457B-A832-D0A8B2C0BF4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358723A-05AA-4460-9966-7738FEDFB3B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{0358723A-05AA-4460-9966-7738FEDFB3BE}</c15:txfldGUID>
                      <c15:f>Tabel!$B$126</c15:f>
                      <c15:dlblFieldTableCache>
                        <c:ptCount val="1"/>
                        <c:pt idx="0">
                          <c:v>1,83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29BE-457B-A832-D0A8B2C0BF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Tabel!$I$122:$I$128</c:f>
              <c:numCache>
                <c:formatCode>General</c:formatCode>
                <c:ptCount val="7"/>
                <c:pt idx="0">
                  <c:v>205</c:v>
                </c:pt>
                <c:pt idx="1">
                  <c:v>205</c:v>
                </c:pt>
                <c:pt idx="2" formatCode="0.00">
                  <c:v>203.30985293737845</c:v>
                </c:pt>
                <c:pt idx="3" formatCode="0.00">
                  <c:v>203.74537771973695</c:v>
                </c:pt>
                <c:pt idx="4" formatCode="0.00">
                  <c:v>203.22790720779005</c:v>
                </c:pt>
                <c:pt idx="5" formatCode="0.00">
                  <c:v>208.39523035692929</c:v>
                </c:pt>
                <c:pt idx="6">
                  <c:v>205</c:v>
                </c:pt>
              </c:numCache>
            </c:numRef>
          </c:xVal>
          <c:yVal>
            <c:numRef>
              <c:f>Tabel!$J$122:$J$128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9BE-457B-A832-D0A8B2C0BF48}"/>
            </c:ext>
          </c:extLst>
        </c:ser>
        <c:ser>
          <c:idx val="9"/>
          <c:order val="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9BE-457B-A832-D0A8B2C0BF48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9BE-457B-A832-D0A8B2C0BF48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CA54684D-253D-43C0-873B-3B16E71A274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{CA54684D-253D-43C0-873B-3B16E71A2741}</c15:txfldGUID>
                      <c15:f>Tabel!$C$123</c15:f>
                      <c15:dlblFieldTableCache>
                        <c:ptCount val="1"/>
                        <c:pt idx="0">
                          <c:v>-3,06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29BE-457B-A832-D0A8B2C0BF4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D3EE0D-7265-4B81-A843-8E7FED77F45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{F5D3EE0D-7265-4B81-A843-8E7FED77F459}</c15:txfldGUID>
                      <c15:f>Tabel!$C$124</c15:f>
                      <c15:dlblFieldTableCache>
                        <c:ptCount val="1"/>
                        <c:pt idx="0">
                          <c:v>-2,27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29BE-457B-A832-D0A8B2C0BF4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0CDFCA8-0ABF-4297-88C9-915D8D63993B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{A0CDFCA8-0ABF-4297-88C9-915D8D63993B}</c15:txfldGUID>
                      <c15:f>Tabel!$C$125</c15:f>
                      <c15:dlblFieldTableCache>
                        <c:ptCount val="1"/>
                        <c:pt idx="0">
                          <c:v>-3,21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29BE-457B-A832-D0A8B2C0BF4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1E0F9D-FD27-46ED-9FF5-DB732368B4E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{4C1E0F9D-FD27-46ED-9FF5-DB732368B4EE}</c15:txfldGUID>
                      <c15:f>Tabel!$C$126</c15:f>
                      <c15:dlblFieldTableCache>
                        <c:ptCount val="1"/>
                        <c:pt idx="0">
                          <c:v>6,14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29BE-457B-A832-D0A8B2C0BF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Tabel!$K$122:$K$128</c:f>
              <c:numCache>
                <c:formatCode>General</c:formatCode>
                <c:ptCount val="7"/>
                <c:pt idx="0">
                  <c:v>295</c:v>
                </c:pt>
                <c:pt idx="1">
                  <c:v>295</c:v>
                </c:pt>
                <c:pt idx="2" formatCode="0.00">
                  <c:v>289.31758734782557</c:v>
                </c:pt>
                <c:pt idx="3" formatCode="0.00">
                  <c:v>290.78185728524204</c:v>
                </c:pt>
                <c:pt idx="4" formatCode="0.00">
                  <c:v>289.04207910306809</c:v>
                </c:pt>
                <c:pt idx="5" formatCode="0.00">
                  <c:v>306.41504213682845</c:v>
                </c:pt>
                <c:pt idx="6">
                  <c:v>295</c:v>
                </c:pt>
              </c:numCache>
            </c:numRef>
          </c:xVal>
          <c:yVal>
            <c:numRef>
              <c:f>Tabel!$L$122:$L$128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9BE-457B-A832-D0A8B2C0BF48}"/>
            </c:ext>
          </c:extLst>
        </c:ser>
        <c:ser>
          <c:idx val="11"/>
          <c:order val="6"/>
          <c:tx>
            <c:strRef>
              <c:f>Tabel!$Q$2</c:f>
              <c:strCache>
                <c:ptCount val="1"/>
                <c:pt idx="0">
                  <c:v>H'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Tabel!$T$2:$T$3</c:f>
              <c:numCache>
                <c:formatCode>0.000</c:formatCode>
                <c:ptCount val="2"/>
                <c:pt idx="0">
                  <c:v>-50</c:v>
                </c:pt>
                <c:pt idx="1">
                  <c:v>-15.238095238095239</c:v>
                </c:pt>
              </c:numCache>
            </c:numRef>
          </c:xVal>
          <c:yVal>
            <c:numRef>
              <c:f>Tabel!$U$2:$U$3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9BE-457B-A832-D0A8B2C0BF48}"/>
            </c:ext>
          </c:extLst>
        </c:ser>
        <c:ser>
          <c:idx val="12"/>
          <c:order val="7"/>
          <c:tx>
            <c:strRef>
              <c:f>Tabel!$Q$4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Tabel!$T$4:$T$5</c:f>
              <c:numCache>
                <c:formatCode>0.000</c:formatCode>
                <c:ptCount val="2"/>
                <c:pt idx="0">
                  <c:v>15.238095238095239</c:v>
                </c:pt>
                <c:pt idx="1">
                  <c:v>50</c:v>
                </c:pt>
              </c:numCache>
            </c:numRef>
          </c:xVal>
          <c:yVal>
            <c:numRef>
              <c:f>Tabel!$U$4:$U$5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9BE-457B-A832-D0A8B2C0BF48}"/>
            </c:ext>
          </c:extLst>
        </c:ser>
        <c:ser>
          <c:idx val="13"/>
          <c:order val="8"/>
          <c:tx>
            <c:strRef>
              <c:f>Tabel!$Q$6</c:f>
              <c:strCache>
                <c:ptCount val="1"/>
                <c:pt idx="0">
                  <c:v>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Tabel!$T$6:$T$7</c:f>
              <c:numCache>
                <c:formatCode>0.000</c:formatCode>
                <c:ptCount val="2"/>
                <c:pt idx="0">
                  <c:v>-50</c:v>
                </c:pt>
                <c:pt idx="1">
                  <c:v>50</c:v>
                </c:pt>
              </c:numCache>
            </c:numRef>
          </c:xVal>
          <c:yVal>
            <c:numRef>
              <c:f>Tabel!$U$6:$U$7</c:f>
              <c:numCache>
                <c:formatCode>0.000</c:formatCode>
                <c:ptCount val="2"/>
                <c:pt idx="0">
                  <c:v>61.904761904761905</c:v>
                </c:pt>
                <c:pt idx="1">
                  <c:v>61.904761904761905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9BE-457B-A832-D0A8B2C0BF48}"/>
            </c:ext>
          </c:extLst>
        </c:ser>
        <c:ser>
          <c:idx val="10"/>
          <c:order val="9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9BE-457B-A832-D0A8B2C0BF48}"/>
              </c:ext>
            </c:extLst>
          </c:dPt>
          <c:dPt>
            <c:idx val="3"/>
            <c:marker>
              <c:symbol val="circle"/>
              <c:size val="4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9BE-457B-A832-D0A8B2C0BF48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9BE-457B-A832-D0A8B2C0BF48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9BE-457B-A832-D0A8B2C0BF48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F1685967-BCC7-45B9-96F9-89D682A56D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{F1685967-BCC7-45B9-96F9-89D682A56D81}</c15:txfldGUID>
                      <c15:f>Tabel!$E$123</c15:f>
                      <c15:dlblFieldTableCache>
                        <c:ptCount val="1"/>
                        <c:pt idx="0">
                          <c:v>-3,97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29BE-457B-A832-D0A8B2C0BF48}"/>
                </c:ext>
              </c:extLst>
            </c:dLbl>
            <c:dLbl>
              <c:idx val="3"/>
              <c:layout>
                <c:manualLayout>
                  <c:x val="-5.9463516398493656E-2"/>
                  <c:y val="7.7611111111111075E-2"/>
                </c:manualLayout>
              </c:layout>
              <c:tx>
                <c:rich>
                  <a:bodyPr/>
                  <a:lstStyle/>
                  <a:p>
                    <a:fld id="{249128E9-404F-492C-8B98-936295B2519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{249128E9-404F-492C-8B98-936295B25191}</c15:txfldGUID>
                      <c15:f>Tabel!$E$124</c15:f>
                      <c15:dlblFieldTableCache>
                        <c:ptCount val="1"/>
                        <c:pt idx="0">
                          <c:v>-2,95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29BE-457B-A832-D0A8B2C0BF4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44768F-F07D-491D-9827-C2FBDCB5BD3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{E044768F-F07D-491D-9827-C2FBDCB5BD38}</c15:txfldGUID>
                      <c15:f>Tabel!$E$125</c15:f>
                      <c15:dlblFieldTableCache>
                        <c:ptCount val="1"/>
                        <c:pt idx="0">
                          <c:v>-14,93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29BE-457B-A832-D0A8B2C0BF4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7760F19-E95B-48C1-BC58-8CBCBA8EB5B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{F7760F19-E95B-48C1-BC58-8CBCBA8EB5B0}</c15:txfldGUID>
                      <c15:f>Tabel!$E$126</c15:f>
                      <c15:dlblFieldTableCache>
                        <c:ptCount val="1"/>
                        <c:pt idx="0">
                          <c:v>-1,46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29BE-457B-A832-D0A8B2C0BF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Tabel!$M$122:$M$128</c:f>
              <c:numCache>
                <c:formatCode>General</c:formatCode>
                <c:ptCount val="7"/>
                <c:pt idx="0">
                  <c:v>415</c:v>
                </c:pt>
                <c:pt idx="1">
                  <c:v>415</c:v>
                </c:pt>
                <c:pt idx="2" formatCode="0.00">
                  <c:v>409.78030850223286</c:v>
                </c:pt>
                <c:pt idx="3" formatCode="0.00">
                  <c:v>411.12534234799625</c:v>
                </c:pt>
                <c:pt idx="4" formatCode="0.00">
                  <c:v>387.26998631085809</c:v>
                </c:pt>
                <c:pt idx="5" formatCode="0.00">
                  <c:v>412.28868370535582</c:v>
                </c:pt>
                <c:pt idx="6">
                  <c:v>415</c:v>
                </c:pt>
              </c:numCache>
            </c:numRef>
          </c:xVal>
          <c:yVal>
            <c:numRef>
              <c:f>Tabel!$N$122:$N$128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29BE-457B-A832-D0A8B2C0BF48}"/>
            </c:ext>
          </c:extLst>
        </c:ser>
        <c:ser>
          <c:idx val="5"/>
          <c:order val="1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Tabel!$K$111:$K$112</c:f>
              <c:numCache>
                <c:formatCode>General</c:formatCode>
                <c:ptCount val="2"/>
                <c:pt idx="0">
                  <c:v>160</c:v>
                </c:pt>
                <c:pt idx="1">
                  <c:v>150</c:v>
                </c:pt>
              </c:numCache>
            </c:numRef>
          </c:xVal>
          <c:yVal>
            <c:numRef>
              <c:f>Tabel!$L$111:$L$112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9BE-457B-A832-D0A8B2C0BF48}"/>
            </c:ext>
          </c:extLst>
        </c:ser>
        <c:ser>
          <c:idx val="6"/>
          <c:order val="1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Tabel!$K$113:$K$114</c:f>
              <c:numCache>
                <c:formatCode>General</c:formatCode>
                <c:ptCount val="2"/>
                <c:pt idx="0">
                  <c:v>155</c:v>
                </c:pt>
                <c:pt idx="1">
                  <c:v>155</c:v>
                </c:pt>
              </c:numCache>
            </c:numRef>
          </c:xVal>
          <c:yVal>
            <c:numRef>
              <c:f>Tabel!$L$113:$L$114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9BE-457B-A832-D0A8B2C0BF48}"/>
            </c:ext>
          </c:extLst>
        </c:ser>
        <c:ser>
          <c:idx val="7"/>
          <c:order val="12"/>
          <c:tx>
            <c:strRef>
              <c:f>Tabel!$M$111:$M$112</c:f>
              <c:strCache>
                <c:ptCount val="2"/>
                <c:pt idx="0">
                  <c:v>250</c:v>
                </c:pt>
                <c:pt idx="1">
                  <c:v>240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Tabel!$M$111:$M$112</c:f>
              <c:numCache>
                <c:formatCode>General</c:formatCode>
                <c:ptCount val="2"/>
                <c:pt idx="0">
                  <c:v>250</c:v>
                </c:pt>
                <c:pt idx="1">
                  <c:v>240</c:v>
                </c:pt>
              </c:numCache>
            </c:numRef>
          </c:xVal>
          <c:yVal>
            <c:numRef>
              <c:f>Tabel!$N$111:$N$112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9BE-457B-A832-D0A8B2C0BF48}"/>
            </c:ext>
          </c:extLst>
        </c:ser>
        <c:ser>
          <c:idx val="8"/>
          <c:order val="1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Tabel!$M$113:$M$114</c:f>
              <c:numCache>
                <c:formatCode>General</c:formatCode>
                <c:ptCount val="2"/>
                <c:pt idx="0">
                  <c:v>245</c:v>
                </c:pt>
                <c:pt idx="1">
                  <c:v>245</c:v>
                </c:pt>
              </c:numCache>
            </c:numRef>
          </c:xVal>
          <c:yVal>
            <c:numRef>
              <c:f>Tabel!$N$113:$N$114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9BE-457B-A832-D0A8B2C0BF48}"/>
            </c:ext>
          </c:extLst>
        </c:ser>
        <c:ser>
          <c:idx val="14"/>
          <c:order val="1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Tabel!$O$111:$O$112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Tabel!$P$111:$P$112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9BE-457B-A832-D0A8B2C0BF48}"/>
            </c:ext>
          </c:extLst>
        </c:ser>
        <c:ser>
          <c:idx val="15"/>
          <c:order val="1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Tabel!$O$113:$O$114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Tabel!$P$113:$P$114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29BE-457B-A832-D0A8B2C0B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43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7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Perbandingan Geser</a:t>
            </a:r>
            <a:r>
              <a:rPr lang="en-ID" baseline="0"/>
              <a:t> Kritis terhadap Geser Nominal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'Input (4) &amp; Process (8)'!$G$38</c:f>
              <c:strCache>
                <c:ptCount val="1"/>
                <c:pt idx="0">
                  <c:v>Vucr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'Input (4) &amp; Process (8)'!$B$40:$B$60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(4) &amp; Process (8)'!$G$40:$G$60</c:f>
              <c:numCache>
                <c:formatCode>0.00</c:formatCode>
                <c:ptCount val="21"/>
                <c:pt idx="0">
                  <c:v>1033.2856000000002</c:v>
                </c:pt>
                <c:pt idx="1">
                  <c:v>981.6213200000002</c:v>
                </c:pt>
                <c:pt idx="2">
                  <c:v>929.95704000000012</c:v>
                </c:pt>
                <c:pt idx="3">
                  <c:v>878.29276000000016</c:v>
                </c:pt>
                <c:pt idx="4">
                  <c:v>826.6284800000002</c:v>
                </c:pt>
                <c:pt idx="5">
                  <c:v>774.96420000000012</c:v>
                </c:pt>
                <c:pt idx="6">
                  <c:v>723.29992000000016</c:v>
                </c:pt>
                <c:pt idx="7">
                  <c:v>671.63564000000019</c:v>
                </c:pt>
                <c:pt idx="8">
                  <c:v>619.97136000000012</c:v>
                </c:pt>
                <c:pt idx="9">
                  <c:v>568.30708000000016</c:v>
                </c:pt>
                <c:pt idx="10">
                  <c:v>516.64280000000008</c:v>
                </c:pt>
                <c:pt idx="11">
                  <c:v>464.97852000000006</c:v>
                </c:pt>
                <c:pt idx="12">
                  <c:v>413.3142400000001</c:v>
                </c:pt>
                <c:pt idx="13">
                  <c:v>361.64996000000008</c:v>
                </c:pt>
                <c:pt idx="14">
                  <c:v>309.98568000000006</c:v>
                </c:pt>
                <c:pt idx="15">
                  <c:v>258.32140000000004</c:v>
                </c:pt>
                <c:pt idx="16">
                  <c:v>206.65712000000005</c:v>
                </c:pt>
                <c:pt idx="17">
                  <c:v>154.99284000000003</c:v>
                </c:pt>
                <c:pt idx="18">
                  <c:v>103.32856000000002</c:v>
                </c:pt>
                <c:pt idx="19">
                  <c:v>51.664280000000012</c:v>
                </c:pt>
                <c:pt idx="20">
                  <c:v>3.0515199301858855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BA-4EF3-980A-63A374A872FA}"/>
            </c:ext>
          </c:extLst>
        </c:ser>
        <c:ser>
          <c:idx val="1"/>
          <c:order val="1"/>
          <c:tx>
            <c:strRef>
              <c:f>'Input (4) &amp; Process (8)'!$H$86</c:f>
              <c:strCache>
                <c:ptCount val="1"/>
                <c:pt idx="0">
                  <c:v>φ * Vn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'Input (4) &amp; Process (8)'!$B$40:$B$60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(4) &amp; Process (8)'!$H$88:$H$108</c:f>
              <c:numCache>
                <c:formatCode>0.000</c:formatCode>
                <c:ptCount val="21"/>
                <c:pt idx="0">
                  <c:v>1359.2089097543605</c:v>
                </c:pt>
                <c:pt idx="1">
                  <c:v>1900.9901213739759</c:v>
                </c:pt>
                <c:pt idx="2">
                  <c:v>1977.9440068761585</c:v>
                </c:pt>
                <c:pt idx="3">
                  <c:v>2050.1148265045285</c:v>
                </c:pt>
                <c:pt idx="4">
                  <c:v>2117.5027167982444</c:v>
                </c:pt>
                <c:pt idx="5">
                  <c:v>2180.107814612089</c:v>
                </c:pt>
                <c:pt idx="6">
                  <c:v>2237.9302571084845</c:v>
                </c:pt>
                <c:pt idx="7">
                  <c:v>2254.9339705349412</c:v>
                </c:pt>
                <c:pt idx="8">
                  <c:v>2243.4699456519338</c:v>
                </c:pt>
                <c:pt idx="9">
                  <c:v>2232.0014042577609</c:v>
                </c:pt>
                <c:pt idx="10">
                  <c:v>2220.5284846646141</c:v>
                </c:pt>
                <c:pt idx="11">
                  <c:v>2209.0513254517314</c:v>
                </c:pt>
                <c:pt idx="12">
                  <c:v>2197.5700654571624</c:v>
                </c:pt>
                <c:pt idx="13">
                  <c:v>2186.0848437694922</c:v>
                </c:pt>
                <c:pt idx="14">
                  <c:v>2174.5957997195374</c:v>
                </c:pt>
                <c:pt idx="15">
                  <c:v>2163.1030728720016</c:v>
                </c:pt>
                <c:pt idx="16">
                  <c:v>2151.6068030170973</c:v>
                </c:pt>
                <c:pt idx="17">
                  <c:v>2140.1071301621428</c:v>
                </c:pt>
                <c:pt idx="18">
                  <c:v>2128.60419452312</c:v>
                </c:pt>
                <c:pt idx="19">
                  <c:v>2117.0981365162074</c:v>
                </c:pt>
                <c:pt idx="20">
                  <c:v>2105.5890967492815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BA-4EF3-980A-63A374A8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522864"/>
        <c:axId val="336521880"/>
      </c:scatterChart>
      <c:valAx>
        <c:axId val="33652286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Station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521880"/>
        <c:crosses val="autoZero"/>
        <c:crossBetween val="midCat"/>
        <c:majorUnit val="4"/>
        <c:minorUnit val="1"/>
      </c:valAx>
      <c:valAx>
        <c:axId val="33652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Gaya Geser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522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FD-4C41-AB16-F4DA50BA4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46-44A4-9E07-9ABEDEDCC6BA}"/>
            </c:ext>
          </c:extLst>
        </c:ser>
        <c:ser>
          <c:idx val="1"/>
          <c:order val="1"/>
          <c:tx>
            <c:v>dalam kiri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46-44A4-9E07-9ABEDEDCC6BA}"/>
            </c:ext>
          </c:extLst>
        </c:ser>
        <c:ser>
          <c:idx val="2"/>
          <c:order val="2"/>
          <c:tx>
            <c:v>dalam kanan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46-44A4-9E07-9ABEDEDCC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GAYA DALAM BIDANG</a:t>
            </a:r>
            <a:r>
              <a:rPr lang="en-US" sz="1600" b="1" baseline="0"/>
              <a:t> GESER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'Input (2) &amp; Process (1)'!$U$167</c:f>
              <c:strCache>
                <c:ptCount val="1"/>
                <c:pt idx="0">
                  <c:v>LAYAN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(1)'!$U$195:$U$215</c:f>
              <c:numCache>
                <c:formatCode>0.00</c:formatCode>
                <c:ptCount val="21"/>
                <c:pt idx="0">
                  <c:v>484.47787177852831</c:v>
                </c:pt>
                <c:pt idx="1">
                  <c:v>460.33874263210703</c:v>
                </c:pt>
                <c:pt idx="2">
                  <c:v>436.19961348568586</c:v>
                </c:pt>
                <c:pt idx="3">
                  <c:v>412.06048433926458</c:v>
                </c:pt>
                <c:pt idx="4">
                  <c:v>387.92135519284341</c:v>
                </c:pt>
                <c:pt idx="5">
                  <c:v>363.78222604642218</c:v>
                </c:pt>
                <c:pt idx="6">
                  <c:v>339.6430969000009</c:v>
                </c:pt>
                <c:pt idx="7">
                  <c:v>315.50396775357962</c:v>
                </c:pt>
                <c:pt idx="8">
                  <c:v>291.36483860715839</c:v>
                </c:pt>
                <c:pt idx="9">
                  <c:v>267.22570946073711</c:v>
                </c:pt>
                <c:pt idx="10">
                  <c:v>243.0865803143158</c:v>
                </c:pt>
                <c:pt idx="11">
                  <c:v>218.94745116789457</c:v>
                </c:pt>
                <c:pt idx="12">
                  <c:v>194.80832202147332</c:v>
                </c:pt>
                <c:pt idx="13">
                  <c:v>170.66919287505209</c:v>
                </c:pt>
                <c:pt idx="14">
                  <c:v>146.53006372863081</c:v>
                </c:pt>
                <c:pt idx="15">
                  <c:v>122.39093458220952</c:v>
                </c:pt>
                <c:pt idx="16">
                  <c:v>98.251805435788299</c:v>
                </c:pt>
                <c:pt idx="17">
                  <c:v>74.112676289367045</c:v>
                </c:pt>
                <c:pt idx="18">
                  <c:v>49.973547142945776</c:v>
                </c:pt>
                <c:pt idx="19">
                  <c:v>25.834417996524529</c:v>
                </c:pt>
                <c:pt idx="20">
                  <c:v>1.6952888501032697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53-4AC4-9C13-D138B2D8B606}"/>
            </c:ext>
          </c:extLst>
        </c:ser>
        <c:ser>
          <c:idx val="1"/>
          <c:order val="1"/>
          <c:tx>
            <c:strRef>
              <c:f>'Input (2) &amp; Process (1)'!$V$167</c:f>
              <c:strCache>
                <c:ptCount val="1"/>
                <c:pt idx="0">
                  <c:v>KUAT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(1)'!$V$195:$V$215</c:f>
              <c:numCache>
                <c:formatCode>0.00</c:formatCode>
                <c:ptCount val="21"/>
                <c:pt idx="0">
                  <c:v>945.40134059465515</c:v>
                </c:pt>
                <c:pt idx="1">
                  <c:v>898.28384956143168</c:v>
                </c:pt>
                <c:pt idx="2">
                  <c:v>851.16635852820821</c:v>
                </c:pt>
                <c:pt idx="3">
                  <c:v>804.04886749498473</c:v>
                </c:pt>
                <c:pt idx="4">
                  <c:v>756.93137646176137</c:v>
                </c:pt>
                <c:pt idx="5">
                  <c:v>709.81388542853779</c:v>
                </c:pt>
                <c:pt idx="6">
                  <c:v>662.69639439531443</c:v>
                </c:pt>
                <c:pt idx="7">
                  <c:v>615.57890336209095</c:v>
                </c:pt>
                <c:pt idx="8">
                  <c:v>568.46141232886748</c:v>
                </c:pt>
                <c:pt idx="9">
                  <c:v>521.34392129564412</c:v>
                </c:pt>
                <c:pt idx="10">
                  <c:v>474.22643026242054</c:v>
                </c:pt>
                <c:pt idx="11">
                  <c:v>427.10893922919706</c:v>
                </c:pt>
                <c:pt idx="12">
                  <c:v>379.99144819597359</c:v>
                </c:pt>
                <c:pt idx="13">
                  <c:v>332.87395716275012</c:v>
                </c:pt>
                <c:pt idx="14">
                  <c:v>285.75646612952664</c:v>
                </c:pt>
                <c:pt idx="15">
                  <c:v>238.6389750963032</c:v>
                </c:pt>
                <c:pt idx="16">
                  <c:v>191.52148406307975</c:v>
                </c:pt>
                <c:pt idx="17">
                  <c:v>144.40399302985628</c:v>
                </c:pt>
                <c:pt idx="18">
                  <c:v>97.286501996632822</c:v>
                </c:pt>
                <c:pt idx="19">
                  <c:v>50.169010963409356</c:v>
                </c:pt>
                <c:pt idx="20">
                  <c:v>3.0515199301858855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53-4AC4-9C13-D138B2D8B606}"/>
            </c:ext>
          </c:extLst>
        </c:ser>
        <c:ser>
          <c:idx val="2"/>
          <c:order val="2"/>
          <c:tx>
            <c:strRef>
              <c:f>'Input (2) &amp; Process (1)'!$W$167</c:f>
              <c:strCache>
                <c:ptCount val="1"/>
                <c:pt idx="0">
                  <c:v>KUAT 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(1)'!$W$195:$W$215</c:f>
              <c:numCache>
                <c:formatCode>0.00</c:formatCode>
                <c:ptCount val="21"/>
                <c:pt idx="0">
                  <c:v>828.17322505461379</c:v>
                </c:pt>
                <c:pt idx="1">
                  <c:v>786.88323402139031</c:v>
                </c:pt>
                <c:pt idx="2">
                  <c:v>745.59324298816682</c:v>
                </c:pt>
                <c:pt idx="3">
                  <c:v>704.30325195494333</c:v>
                </c:pt>
                <c:pt idx="4">
                  <c:v>663.01326092172008</c:v>
                </c:pt>
                <c:pt idx="5">
                  <c:v>621.72326988849647</c:v>
                </c:pt>
                <c:pt idx="6">
                  <c:v>580.4332788552731</c:v>
                </c:pt>
                <c:pt idx="7">
                  <c:v>539.14328782204961</c:v>
                </c:pt>
                <c:pt idx="8">
                  <c:v>497.85329678882613</c:v>
                </c:pt>
                <c:pt idx="9">
                  <c:v>456.56330575560276</c:v>
                </c:pt>
                <c:pt idx="10">
                  <c:v>415.27331472237915</c:v>
                </c:pt>
                <c:pt idx="11">
                  <c:v>373.98332368915572</c:v>
                </c:pt>
                <c:pt idx="12">
                  <c:v>332.69333265593229</c:v>
                </c:pt>
                <c:pt idx="13">
                  <c:v>291.40334162270881</c:v>
                </c:pt>
                <c:pt idx="14">
                  <c:v>250.11335058948532</c:v>
                </c:pt>
                <c:pt idx="15">
                  <c:v>208.82335955626189</c:v>
                </c:pt>
                <c:pt idx="16">
                  <c:v>167.53336852303843</c:v>
                </c:pt>
                <c:pt idx="17">
                  <c:v>126.24337748981495</c:v>
                </c:pt>
                <c:pt idx="18">
                  <c:v>84.953386456591517</c:v>
                </c:pt>
                <c:pt idx="19">
                  <c:v>43.663395423368044</c:v>
                </c:pt>
                <c:pt idx="20">
                  <c:v>2.3734043901445774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53-4AC4-9C13-D138B2D8B606}"/>
            </c:ext>
          </c:extLst>
        </c:ser>
        <c:ser>
          <c:idx val="3"/>
          <c:order val="3"/>
          <c:tx>
            <c:strRef>
              <c:f>'Input (2) &amp; Process (1)'!$X$167</c:f>
              <c:strCache>
                <c:ptCount val="1"/>
                <c:pt idx="0">
                  <c:v>KUAT 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(1)'!$X$195:$X$215</c:f>
              <c:numCache>
                <c:formatCode>0.00</c:formatCode>
                <c:ptCount val="21"/>
                <c:pt idx="0">
                  <c:v>653.81784456293008</c:v>
                </c:pt>
                <c:pt idx="1">
                  <c:v>621.1269523347836</c:v>
                </c:pt>
                <c:pt idx="2">
                  <c:v>588.43606010663711</c:v>
                </c:pt>
                <c:pt idx="3">
                  <c:v>555.74516787849052</c:v>
                </c:pt>
                <c:pt idx="4">
                  <c:v>523.05427565034415</c:v>
                </c:pt>
                <c:pt idx="5">
                  <c:v>490.36338342219756</c:v>
                </c:pt>
                <c:pt idx="6">
                  <c:v>457.67249119405108</c:v>
                </c:pt>
                <c:pt idx="7">
                  <c:v>424.9815989659046</c:v>
                </c:pt>
                <c:pt idx="8">
                  <c:v>392.29070673775806</c:v>
                </c:pt>
                <c:pt idx="9">
                  <c:v>359.59981450961163</c:v>
                </c:pt>
                <c:pt idx="10">
                  <c:v>326.90892228146504</c:v>
                </c:pt>
                <c:pt idx="11">
                  <c:v>294.21803005331856</c:v>
                </c:pt>
                <c:pt idx="12">
                  <c:v>261.52713782517208</c:v>
                </c:pt>
                <c:pt idx="13">
                  <c:v>228.83624559702554</c:v>
                </c:pt>
                <c:pt idx="14">
                  <c:v>196.14535336887903</c:v>
                </c:pt>
                <c:pt idx="15">
                  <c:v>163.45446114073252</c:v>
                </c:pt>
                <c:pt idx="16">
                  <c:v>130.76356891258604</c:v>
                </c:pt>
                <c:pt idx="17">
                  <c:v>98.072676684439514</c:v>
                </c:pt>
                <c:pt idx="18">
                  <c:v>65.381784456293019</c:v>
                </c:pt>
                <c:pt idx="19">
                  <c:v>32.69089222814651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53-4AC4-9C13-D138B2D8B606}"/>
            </c:ext>
          </c:extLst>
        </c:ser>
        <c:ser>
          <c:idx val="4"/>
          <c:order val="4"/>
          <c:tx>
            <c:strRef>
              <c:f>'Input (2) &amp; Process (1)'!$Y$167</c:f>
              <c:strCache>
                <c:ptCount val="1"/>
                <c:pt idx="0">
                  <c:v>KUAT 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(1)'!$Y$195:$Y$215</c:f>
              <c:numCache>
                <c:formatCode>0.00</c:formatCode>
                <c:ptCount val="21"/>
                <c:pt idx="0">
                  <c:v>1033.2856000000002</c:v>
                </c:pt>
                <c:pt idx="1">
                  <c:v>981.6213200000002</c:v>
                </c:pt>
                <c:pt idx="2">
                  <c:v>929.95704000000012</c:v>
                </c:pt>
                <c:pt idx="3">
                  <c:v>878.29276000000016</c:v>
                </c:pt>
                <c:pt idx="4">
                  <c:v>826.6284800000002</c:v>
                </c:pt>
                <c:pt idx="5">
                  <c:v>774.96420000000012</c:v>
                </c:pt>
                <c:pt idx="6">
                  <c:v>723.29992000000016</c:v>
                </c:pt>
                <c:pt idx="7">
                  <c:v>671.63564000000019</c:v>
                </c:pt>
                <c:pt idx="8">
                  <c:v>619.97136000000012</c:v>
                </c:pt>
                <c:pt idx="9">
                  <c:v>568.30708000000016</c:v>
                </c:pt>
                <c:pt idx="10">
                  <c:v>516.64280000000008</c:v>
                </c:pt>
                <c:pt idx="11">
                  <c:v>464.97852000000006</c:v>
                </c:pt>
                <c:pt idx="12">
                  <c:v>413.3142400000001</c:v>
                </c:pt>
                <c:pt idx="13">
                  <c:v>361.64996000000008</c:v>
                </c:pt>
                <c:pt idx="14">
                  <c:v>309.98568000000006</c:v>
                </c:pt>
                <c:pt idx="15">
                  <c:v>258.32140000000004</c:v>
                </c:pt>
                <c:pt idx="16">
                  <c:v>206.65712000000005</c:v>
                </c:pt>
                <c:pt idx="17">
                  <c:v>154.99284000000003</c:v>
                </c:pt>
                <c:pt idx="18">
                  <c:v>103.32856000000002</c:v>
                </c:pt>
                <c:pt idx="19">
                  <c:v>51.664280000000012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53-4AC4-9C13-D138B2D8B606}"/>
            </c:ext>
          </c:extLst>
        </c:ser>
        <c:ser>
          <c:idx val="5"/>
          <c:order val="5"/>
          <c:tx>
            <c:strRef>
              <c:f>'Input (2) &amp; Process (1)'!$Z$167</c:f>
              <c:strCache>
                <c:ptCount val="1"/>
                <c:pt idx="0">
                  <c:v>KUAT 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(1)'!$Z$195:$Z$215</c:f>
              <c:numCache>
                <c:formatCode>0.00</c:formatCode>
                <c:ptCount val="21"/>
                <c:pt idx="0">
                  <c:v>879.83165606402963</c:v>
                </c:pt>
                <c:pt idx="1">
                  <c:v>835.84007326082804</c:v>
                </c:pt>
                <c:pt idx="2">
                  <c:v>791.84849045762667</c:v>
                </c:pt>
                <c:pt idx="3">
                  <c:v>747.85690765442507</c:v>
                </c:pt>
                <c:pt idx="4">
                  <c:v>703.86532485122359</c:v>
                </c:pt>
                <c:pt idx="5">
                  <c:v>659.87374204802234</c:v>
                </c:pt>
                <c:pt idx="6">
                  <c:v>615.88215924482074</c:v>
                </c:pt>
                <c:pt idx="7">
                  <c:v>571.89057644161915</c:v>
                </c:pt>
                <c:pt idx="8">
                  <c:v>527.89899363841778</c:v>
                </c:pt>
                <c:pt idx="9">
                  <c:v>483.90741083521618</c:v>
                </c:pt>
                <c:pt idx="10">
                  <c:v>439.91582803201482</c:v>
                </c:pt>
                <c:pt idx="11">
                  <c:v>395.92424522881333</c:v>
                </c:pt>
                <c:pt idx="12">
                  <c:v>351.9326624256118</c:v>
                </c:pt>
                <c:pt idx="13">
                  <c:v>307.94107962241037</c:v>
                </c:pt>
                <c:pt idx="14">
                  <c:v>263.94949681920889</c:v>
                </c:pt>
                <c:pt idx="15">
                  <c:v>219.95791401600741</c:v>
                </c:pt>
                <c:pt idx="16">
                  <c:v>175.9663312128059</c:v>
                </c:pt>
                <c:pt idx="17">
                  <c:v>131.97474840960444</c:v>
                </c:pt>
                <c:pt idx="18">
                  <c:v>87.983165606402949</c:v>
                </c:pt>
                <c:pt idx="19">
                  <c:v>43.991582803201474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53-4AC4-9C13-D138B2D8B606}"/>
            </c:ext>
          </c:extLst>
        </c:ser>
        <c:ser>
          <c:idx val="6"/>
          <c:order val="6"/>
          <c:tx>
            <c:strRef>
              <c:f>'Input (2) &amp; Process (1)'!$AA$167</c:f>
              <c:strCache>
                <c:ptCount val="1"/>
                <c:pt idx="0">
                  <c:v>ENVE KUAT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'Input (2) &amp; Process (1)'!$M$195:$M$215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'Input (2) &amp; Process (1)'!$AA$195:$AA$215</c:f>
              <c:numCache>
                <c:formatCode>0.00</c:formatCode>
                <c:ptCount val="21"/>
                <c:pt idx="0">
                  <c:v>1033.2856000000002</c:v>
                </c:pt>
                <c:pt idx="1">
                  <c:v>981.6213200000002</c:v>
                </c:pt>
                <c:pt idx="2">
                  <c:v>929.95704000000012</c:v>
                </c:pt>
                <c:pt idx="3">
                  <c:v>878.29276000000016</c:v>
                </c:pt>
                <c:pt idx="4">
                  <c:v>826.6284800000002</c:v>
                </c:pt>
                <c:pt idx="5">
                  <c:v>774.96420000000012</c:v>
                </c:pt>
                <c:pt idx="6">
                  <c:v>723.29992000000016</c:v>
                </c:pt>
                <c:pt idx="7">
                  <c:v>671.63564000000019</c:v>
                </c:pt>
                <c:pt idx="8">
                  <c:v>619.97136000000012</c:v>
                </c:pt>
                <c:pt idx="9">
                  <c:v>568.30708000000016</c:v>
                </c:pt>
                <c:pt idx="10">
                  <c:v>516.64280000000008</c:v>
                </c:pt>
                <c:pt idx="11">
                  <c:v>464.97852000000006</c:v>
                </c:pt>
                <c:pt idx="12">
                  <c:v>413.3142400000001</c:v>
                </c:pt>
                <c:pt idx="13">
                  <c:v>361.64996000000008</c:v>
                </c:pt>
                <c:pt idx="14">
                  <c:v>309.98568000000006</c:v>
                </c:pt>
                <c:pt idx="15">
                  <c:v>258.32140000000004</c:v>
                </c:pt>
                <c:pt idx="16">
                  <c:v>206.65712000000005</c:v>
                </c:pt>
                <c:pt idx="17">
                  <c:v>154.99284000000003</c:v>
                </c:pt>
                <c:pt idx="18">
                  <c:v>103.32856000000002</c:v>
                </c:pt>
                <c:pt idx="19">
                  <c:v>51.664280000000012</c:v>
                </c:pt>
                <c:pt idx="20">
                  <c:v>3.0515199301858855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53-4AC4-9C13-D138B2D8B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8087120"/>
        <c:axId val="1878090032"/>
      </c:scatterChart>
      <c:valAx>
        <c:axId val="1878087120"/>
        <c:scaling>
          <c:orientation val="minMax"/>
          <c:max val="2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Jarak</a:t>
                </a:r>
                <a:r>
                  <a:rPr lang="en-US" b="1" baseline="0"/>
                  <a:t> dari tepi, m</a:t>
                </a:r>
                <a:endParaRPr lang="id-ID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90032"/>
        <c:crosses val="autoZero"/>
        <c:crossBetween val="midCat"/>
      </c:valAx>
      <c:valAx>
        <c:axId val="187809003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0"/>
                  <a:t>Gaya</a:t>
                </a:r>
                <a:r>
                  <a:rPr lang="en-US" b="1" i="0" baseline="0"/>
                  <a:t> Geser, kN</a:t>
                </a:r>
                <a:endParaRPr lang="id-ID" b="1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8087120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61-4B9C-B78F-768E19CC09D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Tabel!$I$35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Tabel!$J$35</c:f>
              <c:numCache>
                <c:formatCode>0.00</c:formatCode>
                <c:ptCount val="1"/>
                <c:pt idx="0">
                  <c:v>32.857142857142854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61-4B9C-B78F-768E19CC09D2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Tabel!$I$36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Tabel!$J$36</c:f>
              <c:numCache>
                <c:formatCode>0.00</c:formatCode>
                <c:ptCount val="1"/>
                <c:pt idx="0">
                  <c:v>12.380952380952381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61-4B9C-B78F-768E19CC09D2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Tabel!$I$37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Tabel!$J$37</c:f>
              <c:numCache>
                <c:formatCode>0.00</c:formatCode>
                <c:ptCount val="1"/>
                <c:pt idx="0">
                  <c:v>-8.0952380952380967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61-4B9C-B78F-768E19CC09D2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Tabel!$I$38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Tabel!$J$38</c:f>
              <c:numCache>
                <c:formatCode>0.00</c:formatCode>
                <c:ptCount val="1"/>
                <c:pt idx="0">
                  <c:v>-28.571428571428577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661-4B9C-B78F-768E19CC09D2}"/>
            </c:ext>
          </c:extLst>
        </c:ser>
        <c:ser>
          <c:idx val="5"/>
          <c:order val="5"/>
          <c:tx>
            <c:v>dalam kiri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661-4B9C-B78F-768E19CC09D2}"/>
            </c:ext>
          </c:extLst>
        </c:ser>
        <c:ser>
          <c:idx val="6"/>
          <c:order val="6"/>
          <c:tx>
            <c:v>dalam kanan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661-4B9C-B78F-768E19CC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33-4E1E-BDC1-1E524084AD3E}"/>
            </c:ext>
          </c:extLst>
        </c:ser>
        <c:ser>
          <c:idx val="1"/>
          <c:order val="1"/>
          <c:tx>
            <c:v>Tendon 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Tabel!$I$41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Tabel!$J$41</c:f>
              <c:numCache>
                <c:formatCode>0.00</c:formatCode>
                <c:ptCount val="1"/>
                <c:pt idx="0">
                  <c:v>-30.476190476190478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33-4E1E-BDC1-1E524084AD3E}"/>
            </c:ext>
          </c:extLst>
        </c:ser>
        <c:ser>
          <c:idx val="2"/>
          <c:order val="2"/>
          <c:tx>
            <c:v>Tendon B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Tabel!$I$42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Tabel!$J$42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33-4E1E-BDC1-1E524084AD3E}"/>
            </c:ext>
          </c:extLst>
        </c:ser>
        <c:ser>
          <c:idx val="3"/>
          <c:order val="3"/>
          <c:tx>
            <c:v>Tendon 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Tabel!$I$43</c:f>
              <c:numCache>
                <c:formatCode>0.00</c:formatCode>
                <c:ptCount val="1"/>
                <c:pt idx="0">
                  <c:v>9.5238095238095237</c:v>
                </c:pt>
              </c:numCache>
            </c:numRef>
          </c:xVal>
          <c:yVal>
            <c:numRef>
              <c:f>Tabel!$J$43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33-4E1E-BDC1-1E524084AD3E}"/>
            </c:ext>
          </c:extLst>
        </c:ser>
        <c:ser>
          <c:idx val="4"/>
          <c:order val="4"/>
          <c:tx>
            <c:v>Tendon 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Tabel!$I$44</c:f>
              <c:numCache>
                <c:formatCode>0.00</c:formatCode>
                <c:ptCount val="1"/>
                <c:pt idx="0">
                  <c:v>-9.5238095238095237</c:v>
                </c:pt>
              </c:numCache>
            </c:numRef>
          </c:xVal>
          <c:yVal>
            <c:numRef>
              <c:f>Tabel!$J$44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33-4E1E-BDC1-1E524084A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/>
              <a:t>Trace Masing-masing Cable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'Process (3)'!$F$31</c:f>
              <c:strCache>
                <c:ptCount val="1"/>
                <c:pt idx="0">
                  <c:v>Tendon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(3)'!$P$36:$P$56</c:f>
              <c:numCache>
                <c:formatCode>0.000</c:formatCode>
                <c:ptCount val="21"/>
                <c:pt idx="0">
                  <c:v>1.74</c:v>
                </c:pt>
                <c:pt idx="1">
                  <c:v>1.610325</c:v>
                </c:pt>
                <c:pt idx="2">
                  <c:v>1.4872999999999998</c:v>
                </c:pt>
                <c:pt idx="3">
                  <c:v>1.3709249999999999</c:v>
                </c:pt>
                <c:pt idx="4">
                  <c:v>1.2611999999999999</c:v>
                </c:pt>
                <c:pt idx="5">
                  <c:v>1.1581250000000001</c:v>
                </c:pt>
                <c:pt idx="6">
                  <c:v>1.0616999999999999</c:v>
                </c:pt>
                <c:pt idx="7">
                  <c:v>0.97192499999999993</c:v>
                </c:pt>
                <c:pt idx="8">
                  <c:v>0.88879999999999992</c:v>
                </c:pt>
                <c:pt idx="9">
                  <c:v>0.81232499999999996</c:v>
                </c:pt>
                <c:pt idx="10">
                  <c:v>0.74249999999999994</c:v>
                </c:pt>
                <c:pt idx="11">
                  <c:v>0.67932499999999996</c:v>
                </c:pt>
                <c:pt idx="12">
                  <c:v>0.6227999999999998</c:v>
                </c:pt>
                <c:pt idx="13">
                  <c:v>0.57292499999999991</c:v>
                </c:pt>
                <c:pt idx="14">
                  <c:v>0.52970000000000006</c:v>
                </c:pt>
                <c:pt idx="15">
                  <c:v>0.49312499999999981</c:v>
                </c:pt>
                <c:pt idx="16">
                  <c:v>0.46319999999999983</c:v>
                </c:pt>
                <c:pt idx="17">
                  <c:v>0.43992500000000012</c:v>
                </c:pt>
                <c:pt idx="18">
                  <c:v>0.42330000000000001</c:v>
                </c:pt>
                <c:pt idx="19">
                  <c:v>0.41332499999999972</c:v>
                </c:pt>
                <c:pt idx="20">
                  <c:v>0.40999999999999992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D6-4058-88B6-87DFA6508E6B}"/>
            </c:ext>
          </c:extLst>
        </c:ser>
        <c:ser>
          <c:idx val="1"/>
          <c:order val="1"/>
          <c:tx>
            <c:strRef>
              <c:f>'Process (3)'!$F$32</c:f>
              <c:strCache>
                <c:ptCount val="1"/>
                <c:pt idx="0">
                  <c:v>Tendon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(3)'!$Q$36:$Q$56</c:f>
              <c:numCache>
                <c:formatCode>0.000</c:formatCode>
                <c:ptCount val="21"/>
                <c:pt idx="0">
                  <c:v>1.31</c:v>
                </c:pt>
                <c:pt idx="1">
                  <c:v>1.197875</c:v>
                </c:pt>
                <c:pt idx="2">
                  <c:v>1.0914999999999999</c:v>
                </c:pt>
                <c:pt idx="3">
                  <c:v>0.99087499999999995</c:v>
                </c:pt>
                <c:pt idx="4">
                  <c:v>0.89600000000000002</c:v>
                </c:pt>
                <c:pt idx="5">
                  <c:v>0.80687500000000001</c:v>
                </c:pt>
                <c:pt idx="6">
                  <c:v>0.72350000000000003</c:v>
                </c:pt>
                <c:pt idx="7">
                  <c:v>0.64587500000000009</c:v>
                </c:pt>
                <c:pt idx="8">
                  <c:v>0.57399999999999995</c:v>
                </c:pt>
                <c:pt idx="9">
                  <c:v>0.50787499999999997</c:v>
                </c:pt>
                <c:pt idx="10">
                  <c:v>0.4474999999999999</c:v>
                </c:pt>
                <c:pt idx="11">
                  <c:v>0.39287499999999986</c:v>
                </c:pt>
                <c:pt idx="12">
                  <c:v>0.34399999999999997</c:v>
                </c:pt>
                <c:pt idx="13">
                  <c:v>0.300875</c:v>
                </c:pt>
                <c:pt idx="14">
                  <c:v>0.26350000000000007</c:v>
                </c:pt>
                <c:pt idx="15">
                  <c:v>0.23187499999999983</c:v>
                </c:pt>
                <c:pt idx="16">
                  <c:v>0.20599999999999996</c:v>
                </c:pt>
                <c:pt idx="17">
                  <c:v>0.18587500000000001</c:v>
                </c:pt>
                <c:pt idx="18">
                  <c:v>0.17149999999999999</c:v>
                </c:pt>
                <c:pt idx="19">
                  <c:v>0.16287499999999988</c:v>
                </c:pt>
                <c:pt idx="20">
                  <c:v>0.15999999999999992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D6-4058-88B6-87DFA6508E6B}"/>
            </c:ext>
          </c:extLst>
        </c:ser>
        <c:ser>
          <c:idx val="2"/>
          <c:order val="2"/>
          <c:tx>
            <c:strRef>
              <c:f>'Process (3)'!$F$33</c:f>
              <c:strCache>
                <c:ptCount val="1"/>
                <c:pt idx="0">
                  <c:v>Tendon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(3)'!$R$36:$R$56</c:f>
              <c:numCache>
                <c:formatCode>0.000</c:formatCode>
                <c:ptCount val="21"/>
                <c:pt idx="0">
                  <c:v>0.88</c:v>
                </c:pt>
                <c:pt idx="1">
                  <c:v>0.80979999999999996</c:v>
                </c:pt>
                <c:pt idx="2">
                  <c:v>0.74319999999999997</c:v>
                </c:pt>
                <c:pt idx="3">
                  <c:v>0.68020000000000003</c:v>
                </c:pt>
                <c:pt idx="4">
                  <c:v>0.62080000000000002</c:v>
                </c:pt>
                <c:pt idx="5">
                  <c:v>0.56499999999999995</c:v>
                </c:pt>
                <c:pt idx="6">
                  <c:v>0.51279999999999992</c:v>
                </c:pt>
                <c:pt idx="7">
                  <c:v>0.4642</c:v>
                </c:pt>
                <c:pt idx="8">
                  <c:v>0.41920000000000002</c:v>
                </c:pt>
                <c:pt idx="9">
                  <c:v>0.37780000000000002</c:v>
                </c:pt>
                <c:pt idx="10">
                  <c:v>0.34000000000000008</c:v>
                </c:pt>
                <c:pt idx="11">
                  <c:v>0.30580000000000007</c:v>
                </c:pt>
                <c:pt idx="12">
                  <c:v>0.2752</c:v>
                </c:pt>
                <c:pt idx="13">
                  <c:v>0.24820000000000009</c:v>
                </c:pt>
                <c:pt idx="14">
                  <c:v>0.2248</c:v>
                </c:pt>
                <c:pt idx="15">
                  <c:v>0.20500000000000007</c:v>
                </c:pt>
                <c:pt idx="16">
                  <c:v>0.18879999999999997</c:v>
                </c:pt>
                <c:pt idx="17">
                  <c:v>0.17619999999999991</c:v>
                </c:pt>
                <c:pt idx="18">
                  <c:v>0.16720000000000002</c:v>
                </c:pt>
                <c:pt idx="19">
                  <c:v>0.16179999999999994</c:v>
                </c:pt>
                <c:pt idx="20">
                  <c:v>0.16000000000000003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D6-4058-88B6-87DFA6508E6B}"/>
            </c:ext>
          </c:extLst>
        </c:ser>
        <c:ser>
          <c:idx val="3"/>
          <c:order val="3"/>
          <c:tx>
            <c:strRef>
              <c:f>'Process (3)'!$F$34</c:f>
              <c:strCache>
                <c:ptCount val="1"/>
                <c:pt idx="0">
                  <c:v>Tendon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(3)'!$S$36:$S$56</c:f>
              <c:numCache>
                <c:formatCode>0.000</c:formatCode>
                <c:ptCount val="21"/>
                <c:pt idx="0">
                  <c:v>0.45</c:v>
                </c:pt>
                <c:pt idx="1">
                  <c:v>0.42172500000000002</c:v>
                </c:pt>
                <c:pt idx="2">
                  <c:v>0.39490000000000003</c:v>
                </c:pt>
                <c:pt idx="3">
                  <c:v>0.36952499999999999</c:v>
                </c:pt>
                <c:pt idx="4">
                  <c:v>0.34560000000000002</c:v>
                </c:pt>
                <c:pt idx="5">
                  <c:v>0.323125</c:v>
                </c:pt>
                <c:pt idx="6">
                  <c:v>0.30209999999999998</c:v>
                </c:pt>
                <c:pt idx="7">
                  <c:v>0.28252500000000003</c:v>
                </c:pt>
                <c:pt idx="8">
                  <c:v>0.26439999999999997</c:v>
                </c:pt>
                <c:pt idx="9">
                  <c:v>0.247725</c:v>
                </c:pt>
                <c:pt idx="10">
                  <c:v>0.23249999999999998</c:v>
                </c:pt>
                <c:pt idx="11">
                  <c:v>0.21872499999999997</c:v>
                </c:pt>
                <c:pt idx="12">
                  <c:v>0.20639999999999997</c:v>
                </c:pt>
                <c:pt idx="13">
                  <c:v>0.195525</c:v>
                </c:pt>
                <c:pt idx="14">
                  <c:v>0.18609999999999999</c:v>
                </c:pt>
                <c:pt idx="15">
                  <c:v>0.17812499999999998</c:v>
                </c:pt>
                <c:pt idx="16">
                  <c:v>0.17159999999999997</c:v>
                </c:pt>
                <c:pt idx="17">
                  <c:v>0.16652499999999998</c:v>
                </c:pt>
                <c:pt idx="18">
                  <c:v>0.16289999999999999</c:v>
                </c:pt>
                <c:pt idx="19">
                  <c:v>0.16072499999999995</c:v>
                </c:pt>
                <c:pt idx="20">
                  <c:v>0.15999999999999998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FD6-4058-88B6-87DFA6508E6B}"/>
            </c:ext>
          </c:extLst>
        </c:ser>
        <c:ser>
          <c:idx val="4"/>
          <c:order val="4"/>
          <c:tx>
            <c:strRef>
              <c:f>'Process (3)'!$T$34</c:f>
              <c:strCache>
                <c:ptCount val="1"/>
                <c:pt idx="0">
                  <c:v>etop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(3)'!$T$36:$T$56</c:f>
              <c:numCache>
                <c:formatCode>0.000</c:formatCode>
                <c:ptCount val="21"/>
                <c:pt idx="0">
                  <c:v>1.5557482865713519</c:v>
                </c:pt>
                <c:pt idx="1">
                  <c:v>1.5132689357385329</c:v>
                </c:pt>
                <c:pt idx="2">
                  <c:v>1.4729680131535507</c:v>
                </c:pt>
                <c:pt idx="3">
                  <c:v>1.4348455188164055</c:v>
                </c:pt>
                <c:pt idx="4">
                  <c:v>1.3989014527270971</c:v>
                </c:pt>
                <c:pt idx="5">
                  <c:v>1.3651358148856256</c:v>
                </c:pt>
                <c:pt idx="6">
                  <c:v>1.3335486052919907</c:v>
                </c:pt>
                <c:pt idx="7">
                  <c:v>1.304139823946193</c:v>
                </c:pt>
                <c:pt idx="8">
                  <c:v>1.276909470848232</c:v>
                </c:pt>
                <c:pt idx="9">
                  <c:v>1.2518575459981081</c:v>
                </c:pt>
                <c:pt idx="10">
                  <c:v>1.2289840493958208</c:v>
                </c:pt>
                <c:pt idx="11">
                  <c:v>1.2082889810413706</c:v>
                </c:pt>
                <c:pt idx="12">
                  <c:v>1.1897723409347571</c:v>
                </c:pt>
                <c:pt idx="13">
                  <c:v>1.1734341290759807</c:v>
                </c:pt>
                <c:pt idx="14">
                  <c:v>1.1592743454650409</c:v>
                </c:pt>
                <c:pt idx="15">
                  <c:v>1.1472929901019382</c:v>
                </c:pt>
                <c:pt idx="16">
                  <c:v>1.1374900629866722</c:v>
                </c:pt>
                <c:pt idx="17">
                  <c:v>1.1298655641192432</c:v>
                </c:pt>
                <c:pt idx="18">
                  <c:v>1.124419493499651</c:v>
                </c:pt>
                <c:pt idx="19">
                  <c:v>1.1211518511278957</c:v>
                </c:pt>
                <c:pt idx="20">
                  <c:v>1.1200626370039772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FD6-4058-88B6-87DFA6508E6B}"/>
            </c:ext>
          </c:extLst>
        </c:ser>
        <c:ser>
          <c:idx val="5"/>
          <c:order val="5"/>
          <c:tx>
            <c:strRef>
              <c:f>'Process (3)'!$U$34</c:f>
              <c:strCache>
                <c:ptCount val="1"/>
                <c:pt idx="0">
                  <c:v>ebtm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(3)'!$U$36:$U$56</c:f>
              <c:numCache>
                <c:formatCode>0.000</c:formatCode>
                <c:ptCount val="21"/>
                <c:pt idx="0">
                  <c:v>0.50576415928601548</c:v>
                </c:pt>
                <c:pt idx="1">
                  <c:v>0.47022077538355345</c:v>
                </c:pt>
                <c:pt idx="2">
                  <c:v>0.43650012911711517</c:v>
                </c:pt>
                <c:pt idx="3">
                  <c:v>0.40460222048670053</c:v>
                </c:pt>
                <c:pt idx="4">
                  <c:v>0.37452704949230958</c:v>
                </c:pt>
                <c:pt idx="5">
                  <c:v>0.34627461613394234</c:v>
                </c:pt>
                <c:pt idx="6">
                  <c:v>0.31984492041159884</c:v>
                </c:pt>
                <c:pt idx="7">
                  <c:v>0.29523796232527899</c:v>
                </c:pt>
                <c:pt idx="8">
                  <c:v>0.27245374187498284</c:v>
                </c:pt>
                <c:pt idx="9">
                  <c:v>0.25149225906071032</c:v>
                </c:pt>
                <c:pt idx="10">
                  <c:v>0.23235351388246156</c:v>
                </c:pt>
                <c:pt idx="11">
                  <c:v>0.2150375063402365</c:v>
                </c:pt>
                <c:pt idx="12">
                  <c:v>0.19954423643403507</c:v>
                </c:pt>
                <c:pt idx="13">
                  <c:v>0.1858737041638574</c:v>
                </c:pt>
                <c:pt idx="14">
                  <c:v>0.17402590952970337</c:v>
                </c:pt>
                <c:pt idx="15">
                  <c:v>0.16400085253157304</c:v>
                </c:pt>
                <c:pt idx="16">
                  <c:v>0.15579853316946646</c:v>
                </c:pt>
                <c:pt idx="17">
                  <c:v>0.14941895144338352</c:v>
                </c:pt>
                <c:pt idx="18">
                  <c:v>0.14486210735332428</c:v>
                </c:pt>
                <c:pt idx="19">
                  <c:v>0.14212800089928873</c:v>
                </c:pt>
                <c:pt idx="20">
                  <c:v>0.14121663208127688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FD6-4058-88B6-87DFA6508E6B}"/>
            </c:ext>
          </c:extLst>
        </c:ser>
        <c:ser>
          <c:idx val="6"/>
          <c:order val="6"/>
          <c:tx>
            <c:v>Lintasan Inti Tendon</c:v>
          </c:tx>
          <c:spPr>
            <a:ln w="12700" cap="rnd" cmpd="sng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(3)'!$O$36:$O$56</c:f>
              <c:numCache>
                <c:formatCode>0.000</c:formatCode>
                <c:ptCount val="21"/>
                <c:pt idx="0">
                  <c:v>1.0119504630245026</c:v>
                </c:pt>
                <c:pt idx="1">
                  <c:v>0.93278529287961365</c:v>
                </c:pt>
                <c:pt idx="2">
                  <c:v>0.85767987504984711</c:v>
                </c:pt>
                <c:pt idx="3">
                  <c:v>0.78663420953520313</c:v>
                </c:pt>
                <c:pt idx="4">
                  <c:v>0.71964829633568161</c:v>
                </c:pt>
                <c:pt idx="5">
                  <c:v>0.65672213545128266</c:v>
                </c:pt>
                <c:pt idx="6">
                  <c:v>0.59785572688200628</c:v>
                </c:pt>
                <c:pt idx="7">
                  <c:v>0.54304907062785235</c:v>
                </c:pt>
                <c:pt idx="8">
                  <c:v>0.49230216668882087</c:v>
                </c:pt>
                <c:pt idx="9">
                  <c:v>0.44561501506491197</c:v>
                </c:pt>
                <c:pt idx="10">
                  <c:v>0.40298761575612563</c:v>
                </c:pt>
                <c:pt idx="11">
                  <c:v>0.36441996876246174</c:v>
                </c:pt>
                <c:pt idx="12">
                  <c:v>0.32991207408392031</c:v>
                </c:pt>
                <c:pt idx="13">
                  <c:v>0.29946393172050156</c:v>
                </c:pt>
                <c:pt idx="14">
                  <c:v>0.27307554167220527</c:v>
                </c:pt>
                <c:pt idx="15">
                  <c:v>0.25074690393903132</c:v>
                </c:pt>
                <c:pt idx="16">
                  <c:v>0.23247801852098005</c:v>
                </c:pt>
                <c:pt idx="17">
                  <c:v>0.21826888541805134</c:v>
                </c:pt>
                <c:pt idx="18">
                  <c:v>0.20811950463024498</c:v>
                </c:pt>
                <c:pt idx="19">
                  <c:v>0.20202987615756118</c:v>
                </c:pt>
                <c:pt idx="20">
                  <c:v>0.19999999999999996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FD6-4058-88B6-87DFA6508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677448"/>
        <c:axId val="386678432"/>
      </c:scatterChart>
      <c:valAx>
        <c:axId val="386677448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Panjang Bentang PC I Girder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78432"/>
        <c:crosses val="autoZero"/>
        <c:crossBetween val="midCat"/>
        <c:majorUnit val="1"/>
      </c:valAx>
      <c:valAx>
        <c:axId val="386678432"/>
        <c:scaling>
          <c:orientation val="minMax"/>
          <c:max val="2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77448"/>
        <c:crosses val="autoZero"/>
        <c:crossBetween val="midCat"/>
        <c:majorUnit val="0.3000000000000000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51-4E7F-B6A5-774C09DA0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F3-4037-9D3F-B695AC7CE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0F-4D68-B356-DFC7A861DA6E}"/>
            </c:ext>
          </c:extLst>
        </c:ser>
        <c:ser>
          <c:idx val="1"/>
          <c:order val="1"/>
          <c:tx>
            <c:v>dalam kiri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0F-4D68-B356-DFC7A861DA6E}"/>
            </c:ext>
          </c:extLst>
        </c:ser>
        <c:ser>
          <c:idx val="2"/>
          <c:order val="2"/>
          <c:tx>
            <c:v>dalam kanan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0F-4D68-B356-DFC7A861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0" i="0" u="none" strike="noStrike" baseline="0"/>
              <a:t>Trace Masing-masing Cable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'Process (3)'!$F$31</c:f>
              <c:strCache>
                <c:ptCount val="1"/>
                <c:pt idx="0">
                  <c:v>Tendon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(3)'!$P$36:$P$56</c:f>
              <c:numCache>
                <c:formatCode>0.000</c:formatCode>
                <c:ptCount val="21"/>
                <c:pt idx="0">
                  <c:v>1.74</c:v>
                </c:pt>
                <c:pt idx="1">
                  <c:v>1.610325</c:v>
                </c:pt>
                <c:pt idx="2">
                  <c:v>1.4872999999999998</c:v>
                </c:pt>
                <c:pt idx="3">
                  <c:v>1.3709249999999999</c:v>
                </c:pt>
                <c:pt idx="4">
                  <c:v>1.2611999999999999</c:v>
                </c:pt>
                <c:pt idx="5">
                  <c:v>1.1581250000000001</c:v>
                </c:pt>
                <c:pt idx="6">
                  <c:v>1.0616999999999999</c:v>
                </c:pt>
                <c:pt idx="7">
                  <c:v>0.97192499999999993</c:v>
                </c:pt>
                <c:pt idx="8">
                  <c:v>0.88879999999999992</c:v>
                </c:pt>
                <c:pt idx="9">
                  <c:v>0.81232499999999996</c:v>
                </c:pt>
                <c:pt idx="10">
                  <c:v>0.74249999999999994</c:v>
                </c:pt>
                <c:pt idx="11">
                  <c:v>0.67932499999999996</c:v>
                </c:pt>
                <c:pt idx="12">
                  <c:v>0.6227999999999998</c:v>
                </c:pt>
                <c:pt idx="13">
                  <c:v>0.57292499999999991</c:v>
                </c:pt>
                <c:pt idx="14">
                  <c:v>0.52970000000000006</c:v>
                </c:pt>
                <c:pt idx="15">
                  <c:v>0.49312499999999981</c:v>
                </c:pt>
                <c:pt idx="16">
                  <c:v>0.46319999999999983</c:v>
                </c:pt>
                <c:pt idx="17">
                  <c:v>0.43992500000000012</c:v>
                </c:pt>
                <c:pt idx="18">
                  <c:v>0.42330000000000001</c:v>
                </c:pt>
                <c:pt idx="19">
                  <c:v>0.41332499999999972</c:v>
                </c:pt>
                <c:pt idx="20">
                  <c:v>0.40999999999999992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10-4433-8726-745A877A11E0}"/>
            </c:ext>
          </c:extLst>
        </c:ser>
        <c:ser>
          <c:idx val="1"/>
          <c:order val="1"/>
          <c:tx>
            <c:strRef>
              <c:f>'Process (3)'!$F$32</c:f>
              <c:strCache>
                <c:ptCount val="1"/>
                <c:pt idx="0">
                  <c:v>Tendon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(3)'!$Q$36:$Q$56</c:f>
              <c:numCache>
                <c:formatCode>0.000</c:formatCode>
                <c:ptCount val="21"/>
                <c:pt idx="0">
                  <c:v>1.31</c:v>
                </c:pt>
                <c:pt idx="1">
                  <c:v>1.197875</c:v>
                </c:pt>
                <c:pt idx="2">
                  <c:v>1.0914999999999999</c:v>
                </c:pt>
                <c:pt idx="3">
                  <c:v>0.99087499999999995</c:v>
                </c:pt>
                <c:pt idx="4">
                  <c:v>0.89600000000000002</c:v>
                </c:pt>
                <c:pt idx="5">
                  <c:v>0.80687500000000001</c:v>
                </c:pt>
                <c:pt idx="6">
                  <c:v>0.72350000000000003</c:v>
                </c:pt>
                <c:pt idx="7">
                  <c:v>0.64587500000000009</c:v>
                </c:pt>
                <c:pt idx="8">
                  <c:v>0.57399999999999995</c:v>
                </c:pt>
                <c:pt idx="9">
                  <c:v>0.50787499999999997</c:v>
                </c:pt>
                <c:pt idx="10">
                  <c:v>0.4474999999999999</c:v>
                </c:pt>
                <c:pt idx="11">
                  <c:v>0.39287499999999986</c:v>
                </c:pt>
                <c:pt idx="12">
                  <c:v>0.34399999999999997</c:v>
                </c:pt>
                <c:pt idx="13">
                  <c:v>0.300875</c:v>
                </c:pt>
                <c:pt idx="14">
                  <c:v>0.26350000000000007</c:v>
                </c:pt>
                <c:pt idx="15">
                  <c:v>0.23187499999999983</c:v>
                </c:pt>
                <c:pt idx="16">
                  <c:v>0.20599999999999996</c:v>
                </c:pt>
                <c:pt idx="17">
                  <c:v>0.18587500000000001</c:v>
                </c:pt>
                <c:pt idx="18">
                  <c:v>0.17149999999999999</c:v>
                </c:pt>
                <c:pt idx="19">
                  <c:v>0.16287499999999988</c:v>
                </c:pt>
                <c:pt idx="20">
                  <c:v>0.15999999999999992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10-4433-8726-745A877A11E0}"/>
            </c:ext>
          </c:extLst>
        </c:ser>
        <c:ser>
          <c:idx val="2"/>
          <c:order val="2"/>
          <c:tx>
            <c:strRef>
              <c:f>'Process (3)'!$F$33</c:f>
              <c:strCache>
                <c:ptCount val="1"/>
                <c:pt idx="0">
                  <c:v>Tendon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(3)'!$R$36:$R$56</c:f>
              <c:numCache>
                <c:formatCode>0.000</c:formatCode>
                <c:ptCount val="21"/>
                <c:pt idx="0">
                  <c:v>0.88</c:v>
                </c:pt>
                <c:pt idx="1">
                  <c:v>0.80979999999999996</c:v>
                </c:pt>
                <c:pt idx="2">
                  <c:v>0.74319999999999997</c:v>
                </c:pt>
                <c:pt idx="3">
                  <c:v>0.68020000000000003</c:v>
                </c:pt>
                <c:pt idx="4">
                  <c:v>0.62080000000000002</c:v>
                </c:pt>
                <c:pt idx="5">
                  <c:v>0.56499999999999995</c:v>
                </c:pt>
                <c:pt idx="6">
                  <c:v>0.51279999999999992</c:v>
                </c:pt>
                <c:pt idx="7">
                  <c:v>0.4642</c:v>
                </c:pt>
                <c:pt idx="8">
                  <c:v>0.41920000000000002</c:v>
                </c:pt>
                <c:pt idx="9">
                  <c:v>0.37780000000000002</c:v>
                </c:pt>
                <c:pt idx="10">
                  <c:v>0.34000000000000008</c:v>
                </c:pt>
                <c:pt idx="11">
                  <c:v>0.30580000000000007</c:v>
                </c:pt>
                <c:pt idx="12">
                  <c:v>0.2752</c:v>
                </c:pt>
                <c:pt idx="13">
                  <c:v>0.24820000000000009</c:v>
                </c:pt>
                <c:pt idx="14">
                  <c:v>0.2248</c:v>
                </c:pt>
                <c:pt idx="15">
                  <c:v>0.20500000000000007</c:v>
                </c:pt>
                <c:pt idx="16">
                  <c:v>0.18879999999999997</c:v>
                </c:pt>
                <c:pt idx="17">
                  <c:v>0.17619999999999991</c:v>
                </c:pt>
                <c:pt idx="18">
                  <c:v>0.16720000000000002</c:v>
                </c:pt>
                <c:pt idx="19">
                  <c:v>0.16179999999999994</c:v>
                </c:pt>
                <c:pt idx="20">
                  <c:v>0.16000000000000003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10-4433-8726-745A877A11E0}"/>
            </c:ext>
          </c:extLst>
        </c:ser>
        <c:ser>
          <c:idx val="3"/>
          <c:order val="3"/>
          <c:tx>
            <c:strRef>
              <c:f>'Process (3)'!$F$34</c:f>
              <c:strCache>
                <c:ptCount val="1"/>
                <c:pt idx="0">
                  <c:v>Tendon 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(3)'!$S$36:$S$56</c:f>
              <c:numCache>
                <c:formatCode>0.000</c:formatCode>
                <c:ptCount val="21"/>
                <c:pt idx="0">
                  <c:v>0.45</c:v>
                </c:pt>
                <c:pt idx="1">
                  <c:v>0.42172500000000002</c:v>
                </c:pt>
                <c:pt idx="2">
                  <c:v>0.39490000000000003</c:v>
                </c:pt>
                <c:pt idx="3">
                  <c:v>0.36952499999999999</c:v>
                </c:pt>
                <c:pt idx="4">
                  <c:v>0.34560000000000002</c:v>
                </c:pt>
                <c:pt idx="5">
                  <c:v>0.323125</c:v>
                </c:pt>
                <c:pt idx="6">
                  <c:v>0.30209999999999998</c:v>
                </c:pt>
                <c:pt idx="7">
                  <c:v>0.28252500000000003</c:v>
                </c:pt>
                <c:pt idx="8">
                  <c:v>0.26439999999999997</c:v>
                </c:pt>
                <c:pt idx="9">
                  <c:v>0.247725</c:v>
                </c:pt>
                <c:pt idx="10">
                  <c:v>0.23249999999999998</c:v>
                </c:pt>
                <c:pt idx="11">
                  <c:v>0.21872499999999997</c:v>
                </c:pt>
                <c:pt idx="12">
                  <c:v>0.20639999999999997</c:v>
                </c:pt>
                <c:pt idx="13">
                  <c:v>0.195525</c:v>
                </c:pt>
                <c:pt idx="14">
                  <c:v>0.18609999999999999</c:v>
                </c:pt>
                <c:pt idx="15">
                  <c:v>0.17812499999999998</c:v>
                </c:pt>
                <c:pt idx="16">
                  <c:v>0.17159999999999997</c:v>
                </c:pt>
                <c:pt idx="17">
                  <c:v>0.16652499999999998</c:v>
                </c:pt>
                <c:pt idx="18">
                  <c:v>0.16289999999999999</c:v>
                </c:pt>
                <c:pt idx="19">
                  <c:v>0.16072499999999995</c:v>
                </c:pt>
                <c:pt idx="20">
                  <c:v>0.15999999999999998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10-4433-8726-745A877A11E0}"/>
            </c:ext>
          </c:extLst>
        </c:ser>
        <c:ser>
          <c:idx val="4"/>
          <c:order val="4"/>
          <c:tx>
            <c:strRef>
              <c:f>'Process (3)'!$T$34</c:f>
              <c:strCache>
                <c:ptCount val="1"/>
                <c:pt idx="0">
                  <c:v>etop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(3)'!$T$36:$T$56</c:f>
              <c:numCache>
                <c:formatCode>0.000</c:formatCode>
                <c:ptCount val="21"/>
                <c:pt idx="0">
                  <c:v>1.5557482865713519</c:v>
                </c:pt>
                <c:pt idx="1">
                  <c:v>1.5132689357385329</c:v>
                </c:pt>
                <c:pt idx="2">
                  <c:v>1.4729680131535507</c:v>
                </c:pt>
                <c:pt idx="3">
                  <c:v>1.4348455188164055</c:v>
                </c:pt>
                <c:pt idx="4">
                  <c:v>1.3989014527270971</c:v>
                </c:pt>
                <c:pt idx="5">
                  <c:v>1.3651358148856256</c:v>
                </c:pt>
                <c:pt idx="6">
                  <c:v>1.3335486052919907</c:v>
                </c:pt>
                <c:pt idx="7">
                  <c:v>1.304139823946193</c:v>
                </c:pt>
                <c:pt idx="8">
                  <c:v>1.276909470848232</c:v>
                </c:pt>
                <c:pt idx="9">
                  <c:v>1.2518575459981081</c:v>
                </c:pt>
                <c:pt idx="10">
                  <c:v>1.2289840493958208</c:v>
                </c:pt>
                <c:pt idx="11">
                  <c:v>1.2082889810413706</c:v>
                </c:pt>
                <c:pt idx="12">
                  <c:v>1.1897723409347571</c:v>
                </c:pt>
                <c:pt idx="13">
                  <c:v>1.1734341290759807</c:v>
                </c:pt>
                <c:pt idx="14">
                  <c:v>1.1592743454650409</c:v>
                </c:pt>
                <c:pt idx="15">
                  <c:v>1.1472929901019382</c:v>
                </c:pt>
                <c:pt idx="16">
                  <c:v>1.1374900629866722</c:v>
                </c:pt>
                <c:pt idx="17">
                  <c:v>1.1298655641192432</c:v>
                </c:pt>
                <c:pt idx="18">
                  <c:v>1.124419493499651</c:v>
                </c:pt>
                <c:pt idx="19">
                  <c:v>1.1211518511278957</c:v>
                </c:pt>
                <c:pt idx="20">
                  <c:v>1.1200626370039772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D10-4433-8726-745A877A11E0}"/>
            </c:ext>
          </c:extLst>
        </c:ser>
        <c:ser>
          <c:idx val="5"/>
          <c:order val="5"/>
          <c:tx>
            <c:strRef>
              <c:f>'Process (3)'!$U$34</c:f>
              <c:strCache>
                <c:ptCount val="1"/>
                <c:pt idx="0">
                  <c:v>ebtm</c:v>
                </c:pt>
              </c:strCache>
            </c:strRef>
          </c:tx>
          <c:spPr>
            <a:ln w="19050" cap="rnd">
              <a:solidFill>
                <a:schemeClr val="accent6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(3)'!$U$36:$U$56</c:f>
              <c:numCache>
                <c:formatCode>0.000</c:formatCode>
                <c:ptCount val="21"/>
                <c:pt idx="0">
                  <c:v>0.50576415928601548</c:v>
                </c:pt>
                <c:pt idx="1">
                  <c:v>0.47022077538355345</c:v>
                </c:pt>
                <c:pt idx="2">
                  <c:v>0.43650012911711517</c:v>
                </c:pt>
                <c:pt idx="3">
                  <c:v>0.40460222048670053</c:v>
                </c:pt>
                <c:pt idx="4">
                  <c:v>0.37452704949230958</c:v>
                </c:pt>
                <c:pt idx="5">
                  <c:v>0.34627461613394234</c:v>
                </c:pt>
                <c:pt idx="6">
                  <c:v>0.31984492041159884</c:v>
                </c:pt>
                <c:pt idx="7">
                  <c:v>0.29523796232527899</c:v>
                </c:pt>
                <c:pt idx="8">
                  <c:v>0.27245374187498284</c:v>
                </c:pt>
                <c:pt idx="9">
                  <c:v>0.25149225906071032</c:v>
                </c:pt>
                <c:pt idx="10">
                  <c:v>0.23235351388246156</c:v>
                </c:pt>
                <c:pt idx="11">
                  <c:v>0.2150375063402365</c:v>
                </c:pt>
                <c:pt idx="12">
                  <c:v>0.19954423643403507</c:v>
                </c:pt>
                <c:pt idx="13">
                  <c:v>0.1858737041638574</c:v>
                </c:pt>
                <c:pt idx="14">
                  <c:v>0.17402590952970337</c:v>
                </c:pt>
                <c:pt idx="15">
                  <c:v>0.16400085253157304</c:v>
                </c:pt>
                <c:pt idx="16">
                  <c:v>0.15579853316946646</c:v>
                </c:pt>
                <c:pt idx="17">
                  <c:v>0.14941895144338352</c:v>
                </c:pt>
                <c:pt idx="18">
                  <c:v>0.14486210735332428</c:v>
                </c:pt>
                <c:pt idx="19">
                  <c:v>0.14212800089928873</c:v>
                </c:pt>
                <c:pt idx="20">
                  <c:v>0.14121663208127688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D10-4433-8726-745A877A11E0}"/>
            </c:ext>
          </c:extLst>
        </c:ser>
        <c:ser>
          <c:idx val="6"/>
          <c:order val="6"/>
          <c:tx>
            <c:v>Lintasan Inti Tendon</c:v>
          </c:tx>
          <c:spPr>
            <a:ln w="12700" cap="rnd" cmpd="sng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'Process (3)'!$M$36:$M$56</c:f>
              <c:numCache>
                <c:formatCode>0.000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'Process (3)'!$O$36:$O$56</c:f>
              <c:numCache>
                <c:formatCode>0.000</c:formatCode>
                <c:ptCount val="21"/>
                <c:pt idx="0">
                  <c:v>1.0119504630245026</c:v>
                </c:pt>
                <c:pt idx="1">
                  <c:v>0.93278529287961365</c:v>
                </c:pt>
                <c:pt idx="2">
                  <c:v>0.85767987504984711</c:v>
                </c:pt>
                <c:pt idx="3">
                  <c:v>0.78663420953520313</c:v>
                </c:pt>
                <c:pt idx="4">
                  <c:v>0.71964829633568161</c:v>
                </c:pt>
                <c:pt idx="5">
                  <c:v>0.65672213545128266</c:v>
                </c:pt>
                <c:pt idx="6">
                  <c:v>0.59785572688200628</c:v>
                </c:pt>
                <c:pt idx="7">
                  <c:v>0.54304907062785235</c:v>
                </c:pt>
                <c:pt idx="8">
                  <c:v>0.49230216668882087</c:v>
                </c:pt>
                <c:pt idx="9">
                  <c:v>0.44561501506491197</c:v>
                </c:pt>
                <c:pt idx="10">
                  <c:v>0.40298761575612563</c:v>
                </c:pt>
                <c:pt idx="11">
                  <c:v>0.36441996876246174</c:v>
                </c:pt>
                <c:pt idx="12">
                  <c:v>0.32991207408392031</c:v>
                </c:pt>
                <c:pt idx="13">
                  <c:v>0.29946393172050156</c:v>
                </c:pt>
                <c:pt idx="14">
                  <c:v>0.27307554167220527</c:v>
                </c:pt>
                <c:pt idx="15">
                  <c:v>0.25074690393903132</c:v>
                </c:pt>
                <c:pt idx="16">
                  <c:v>0.23247801852098005</c:v>
                </c:pt>
                <c:pt idx="17">
                  <c:v>0.21826888541805134</c:v>
                </c:pt>
                <c:pt idx="18">
                  <c:v>0.20811950463024498</c:v>
                </c:pt>
                <c:pt idx="19">
                  <c:v>0.20202987615756118</c:v>
                </c:pt>
                <c:pt idx="20">
                  <c:v>0.19999999999999996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D10-4433-8726-745A877A1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677448"/>
        <c:axId val="386678432"/>
      </c:scatterChart>
      <c:valAx>
        <c:axId val="386677448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Panjang Bentang PC I Girder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78432"/>
        <c:crosses val="autoZero"/>
        <c:crossBetween val="midCat"/>
        <c:majorUnit val="1"/>
      </c:valAx>
      <c:valAx>
        <c:axId val="386678432"/>
        <c:scaling>
          <c:orientation val="minMax"/>
          <c:max val="2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77448"/>
        <c:crosses val="autoZero"/>
        <c:crossBetween val="midCat"/>
        <c:majorUnit val="0.3000000000000000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 Kehilangan Gaya</a:t>
            </a:r>
            <a:r>
              <a:rPr lang="en-ID" baseline="0"/>
              <a:t> Prategang</a:t>
            </a:r>
            <a:endParaRPr lang="en-ID"/>
          </a:p>
        </c:rich>
      </c:tx>
      <c:layout>
        <c:manualLayout>
          <c:xMode val="edge"/>
          <c:yMode val="edge"/>
          <c:x val="0.22693744531933507"/>
          <c:y val="2.9931972789115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72003499562555"/>
          <c:y val="0.13629931972789117"/>
          <c:w val="0.76172440944881892"/>
          <c:h val="0.83376870748299325"/>
        </c:manualLayout>
      </c:layout>
      <c:scatterChart>
        <c:scatterStyle val="lineMarker"/>
        <c:varyColors val="0"/>
        <c:ser>
          <c:idx val="1"/>
          <c:order val="0"/>
          <c:tx>
            <c:v>Grafik kehilangan gaya prategang</c:v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'Input (3) &amp; Process (4)'!$J$123:$J$127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'Input (3) &amp; Process (4)'!$H$123:$H$127</c:f>
              <c:numCache>
                <c:formatCode>0.000</c:formatCode>
                <c:ptCount val="5"/>
                <c:pt idx="0">
                  <c:v>9905.5396910481722</c:v>
                </c:pt>
                <c:pt idx="1">
                  <c:v>9608.3735003167276</c:v>
                </c:pt>
                <c:pt idx="2">
                  <c:v>9416.8127703820446</c:v>
                </c:pt>
                <c:pt idx="3">
                  <c:v>8901.7660267627289</c:v>
                </c:pt>
                <c:pt idx="4">
                  <c:v>7579.4128750556474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46-45D5-AD9D-DF5D868A5CC2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7C86BF2-F42D-45F6-B5B3-7FB61899A70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{D7C86BF2-F42D-45F6-B5B3-7FB61899A705}</c15:txfldGUID>
                      <c15:f>'Input (3) &amp; Process (4)'!$I$123</c15:f>
                      <c15:dlblFieldTableCache>
                        <c:ptCount val="1"/>
                        <c:pt idx="0">
                          <c:v>100,0%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846-45D5-AD9D-DF5D868A5C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3122C3C-6D02-44C2-9D38-4A07F3D112C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{93122C3C-6D02-44C2-9D38-4A07F3D112C9}</c15:txfldGUID>
                      <c15:f>'Input (3) &amp; Process (4)'!$I$124</c15:f>
                      <c15:dlblFieldTableCache>
                        <c:ptCount val="1"/>
                        <c:pt idx="0">
                          <c:v>97,0%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846-45D5-AD9D-DF5D868A5CC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C22BF8B-96DC-409C-8720-914603E2B2B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{2C22BF8B-96DC-409C-8720-914603E2B2B4}</c15:txfldGUID>
                      <c15:f>'Input (3) &amp; Process (4)'!$I$125</c15:f>
                      <c15:dlblFieldTableCache>
                        <c:ptCount val="1"/>
                        <c:pt idx="0">
                          <c:v>95,1%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846-45D5-AD9D-DF5D868A5CC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874F0B-E7ED-4A65-A6D7-9D5709562E7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{D2874F0B-E7ED-4A65-A6D7-9D5709562E79}</c15:txfldGUID>
                      <c15:f>'Input (3) &amp; Process (4)'!$I$126</c15:f>
                      <c15:dlblFieldTableCache>
                        <c:ptCount val="1"/>
                        <c:pt idx="0">
                          <c:v>89,9%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846-45D5-AD9D-DF5D868A5CC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0CD2D9E-A9F6-4ABC-B752-44A54DA45EF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{30CD2D9E-A9F6-4ABC-B752-44A54DA45EF1}</c15:txfldGUID>
                      <c15:f>'Input (3) &amp; Process (4)'!$I$127</c15:f>
                      <c15:dlblFieldTableCache>
                        <c:ptCount val="1"/>
                        <c:pt idx="0">
                          <c:v>76,5%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846-45D5-AD9D-DF5D868A5C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'Input (3) &amp; Process (4)'!$J$123:$J$127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'Input (3) &amp; Process (4)'!$H$123:$H$127</c:f>
              <c:numCache>
                <c:formatCode>0.000</c:formatCode>
                <c:ptCount val="5"/>
                <c:pt idx="0">
                  <c:v>9905.5396910481722</c:v>
                </c:pt>
                <c:pt idx="1">
                  <c:v>9608.3735003167276</c:v>
                </c:pt>
                <c:pt idx="2">
                  <c:v>9416.8127703820446</c:v>
                </c:pt>
                <c:pt idx="3">
                  <c:v>8901.7660267627289</c:v>
                </c:pt>
                <c:pt idx="4">
                  <c:v>7579.4128750556474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846-45D5-AD9D-DF5D868A5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827632"/>
        <c:axId val="843828288"/>
      </c:scatterChart>
      <c:valAx>
        <c:axId val="843827632"/>
        <c:scaling>
          <c:orientation val="minMax"/>
          <c:min val="0.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43828288"/>
        <c:crosses val="autoZero"/>
        <c:crossBetween val="midCat"/>
      </c:valAx>
      <c:valAx>
        <c:axId val="843828288"/>
        <c:scaling>
          <c:orientation val="minMax"/>
          <c:min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 Gaya Prategang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2763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BD-4EE6-8E16-193E44FF8E19}"/>
            </c:ext>
          </c:extLst>
        </c:ser>
        <c:ser>
          <c:idx val="1"/>
          <c:order val="1"/>
          <c:tx>
            <c:v>P/A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3BD-4EE6-8E16-193E44FF8E19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3BD-4EE6-8E16-193E44FF8E1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BD-4EE6-8E16-193E44FF8E1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BD-4EE6-8E16-193E44FF8E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46061E-9BDB-42A3-BE03-D3E669857DC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{1B46061E-9BDB-42A3-BE03-D3E669857DC6}</c15:txfldGUID>
                      <c15:f>Tabel!$A$63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3BD-4EE6-8E16-193E44FF8E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A80A964-9A10-48DE-9C0C-47B3C7F9A1C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{0A80A964-9A10-48DE-9C0C-47B3C7F9A1CA}</c15:txfldGUID>
                      <c15:f>Tabel!$A$64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3BD-4EE6-8E16-193E44FF8E1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BD-4EE6-8E16-193E44FF8E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Tabel!$G$62:$G$66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Tabel!$H$62:$H$66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3BD-4EE6-8E16-193E44FF8E19}"/>
            </c:ext>
          </c:extLst>
        </c:ser>
        <c:ser>
          <c:idx val="2"/>
          <c:order val="2"/>
          <c:tx>
            <c:v>P*es/W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3BD-4EE6-8E16-193E44FF8E19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3BD-4EE6-8E16-193E44FF8E1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BD-4EE6-8E16-193E44FF8E1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BD-4EE6-8E16-193E44FF8E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0C10515-11B0-4B69-9B49-543E9BF2DDA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{E0C10515-11B0-4B69-9B49-543E9BF2DDA2}</c15:txfldGUID>
                      <c15:f>Tabel!$B$63</c15:f>
                      <c15:dlblFieldTableCache>
                        <c:ptCount val="1"/>
                        <c:pt idx="0">
                          <c:v>21,14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3BD-4EE6-8E16-193E44FF8E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7173215-04FB-4E2D-B1A8-0E3AB00EA84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{F7173215-04FB-4E2D-B1A8-0E3AB00EA842}</c15:txfldGUID>
                      <c15:f>Tabel!$B$64</c15:f>
                      <c15:dlblFieldTableCache>
                        <c:ptCount val="1"/>
                        <c:pt idx="0">
                          <c:v>-19,66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A3BD-4EE6-8E16-193E44FF8E1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BD-4EE6-8E16-193E44FF8E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Tabel!$I$62:$I$66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191.13822734316091</c:v>
                </c:pt>
                <c:pt idx="3" formatCode="0.00">
                  <c:v>150.3401975548926</c:v>
                </c:pt>
                <c:pt idx="4">
                  <c:v>170</c:v>
                </c:pt>
              </c:numCache>
            </c:numRef>
          </c:xVal>
          <c:yVal>
            <c:numRef>
              <c:f>Tabel!$J$62:$J$66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3BD-4EE6-8E16-193E44FF8E19}"/>
            </c:ext>
          </c:extLst>
        </c:ser>
        <c:ser>
          <c:idx val="3"/>
          <c:order val="3"/>
          <c:tx>
            <c:v>M/W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3BD-4EE6-8E16-193E44FF8E19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BD-4EE6-8E16-193E44FF8E1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BD-4EE6-8E16-193E44FF8E1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BD-4EE6-8E16-193E44FF8E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A859307-2CAF-400F-9D20-CFECA068226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{4A859307-2CAF-400F-9D20-CFECA068226A}</c15:txfldGUID>
                      <c15:f>Tabel!$C$63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3BD-4EE6-8E16-193E44FF8E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1FC9EA-A855-478D-AD4A-5B39F8CFC3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{1C1FC9EA-A855-478D-AD4A-5B39F8CFC3A6}</c15:txfldGUID>
                      <c15:f>Tabel!$C$64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3BD-4EE6-8E16-193E44FF8E1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BD-4EE6-8E16-193E44FF8E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Tabel!$K$62:$K$66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Tabel!$L$62:$L$66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3BD-4EE6-8E16-193E44FF8E19}"/>
            </c:ext>
          </c:extLst>
        </c:ser>
        <c:ser>
          <c:idx val="4"/>
          <c:order val="4"/>
          <c:tx>
            <c:v>Result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3BD-4EE6-8E16-193E44FF8E19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3BD-4EE6-8E16-193E44FF8E1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BD-4EE6-8E16-193E44FF8E1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BD-4EE6-8E16-193E44FF8E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E8DB934-8302-4AB7-9627-258AB8BA584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{FE8DB934-8302-4AB7-9627-258AB8BA584F}</c15:txfldGUID>
                      <c15:f>Tabel!$D$63</c15:f>
                      <c15:dlblFieldTableCache>
                        <c:ptCount val="1"/>
                        <c:pt idx="0">
                          <c:v>-1,52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A3BD-4EE6-8E16-193E44FF8E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8610926-983B-4300-8939-114DD744209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{88610926-983B-4300-8939-114DD7442093}</c15:txfldGUID>
                      <c15:f>Tabel!$D$64</c15:f>
                      <c15:dlblFieldTableCache>
                        <c:ptCount val="1"/>
                        <c:pt idx="0">
                          <c:v>-24,00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A3BD-4EE6-8E16-193E44FF8E1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BD-4EE6-8E16-193E44FF8E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Tabel!$M$62:$M$66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358.48063044996701</c:v>
                </c:pt>
                <c:pt idx="3" formatCode="0.00">
                  <c:v>336</c:v>
                </c:pt>
                <c:pt idx="4">
                  <c:v>360</c:v>
                </c:pt>
              </c:numCache>
            </c:numRef>
          </c:xVal>
          <c:yVal>
            <c:numRef>
              <c:f>Tabel!$N$62:$N$66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A3BD-4EE6-8E16-193E44FF8E19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3BD-4EE6-8E16-193E44FF8E19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A3BD-4EE6-8E16-193E44FF8E19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A3BD-4EE6-8E16-193E44FF8E19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A3BD-4EE6-8E16-193E44FF8E19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A3BD-4EE6-8E16-193E44FF8E19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A3BD-4EE6-8E16-193E44FF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85-4EF9-808F-BA7383FB2BBB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485-4EF9-808F-BA7383FB2BB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485-4EF9-808F-BA7383FB2BB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EF9-808F-BA7383FB2BB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EF9-808F-BA7383FB2B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DC22B2-4AB9-4836-957C-20DF5DD59B8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{D5DC22B2-4AB9-4836-957C-20DF5DD59B80}</c15:txfldGUID>
                      <c15:f>Tabel!$R$63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485-4EF9-808F-BA7383FB2B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0C2C95E-AF3F-4EE5-AD68-9FB191BC3A7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{50C2C95E-AF3F-4EE5-AD68-9FB191BC3A7D}</c15:txfldGUID>
                      <c15:f>Tabel!$R$64</c15:f>
                      <c15:dlblFieldTableCache>
                        <c:ptCount val="1"/>
                        <c:pt idx="0">
                          <c:v>-13,17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485-4EF9-808F-BA7383FB2B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EF9-808F-BA7383FB2B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Tabel!$X$62:$X$66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76.832992568060391</c:v>
                </c:pt>
                <c:pt idx="3" formatCode="0.00">
                  <c:v>76.832992568060391</c:v>
                </c:pt>
                <c:pt idx="4">
                  <c:v>90</c:v>
                </c:pt>
              </c:numCache>
            </c:numRef>
          </c:xVal>
          <c:yVal>
            <c:numRef>
              <c:f>Tabel!$Y$62:$Y$66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485-4EF9-808F-BA7383FB2BBB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485-4EF9-808F-BA7383FB2BB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485-4EF9-808F-BA7383FB2BB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9BBB4F-EF40-4EB6-AEBA-469844057A0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{9E9BBB4F-EF40-4EB6-AEBA-469844057A0A}</c15:txfldGUID>
                      <c15:f>Tabel!$S$64</c15:f>
                      <c15:dlblFieldTableCache>
                        <c:ptCount val="1"/>
                        <c:pt idx="0">
                          <c:v>0,79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485-4EF9-808F-BA7383FB2B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6E7E21-3C2F-4EE5-B68B-82D8B02137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{706E7E21-3C2F-4EE5-B68B-82D8B02137D2}</c15:txfldGUID>
                      <c15:f>Tabel!$S$63</c15:f>
                      <c15:dlblFieldTableCache>
                        <c:ptCount val="1"/>
                        <c:pt idx="0">
                          <c:v>-0,85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485-4EF9-808F-BA7383FB2B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EF9-808F-BA7383FB2B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EF9-808F-BA7383FB2B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EF9-808F-BA7383FB2B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Tabel!$Z$62:$Z$66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169.1460156153363</c:v>
                </c:pt>
                <c:pt idx="3" formatCode="0.00">
                  <c:v>170.79425601878233</c:v>
                </c:pt>
                <c:pt idx="4">
                  <c:v>170</c:v>
                </c:pt>
              </c:numCache>
            </c:numRef>
          </c:xVal>
          <c:yVal>
            <c:numRef>
              <c:f>Tabel!$AA$62:$AA$66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485-4EF9-808F-BA7383FB2BBB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535345B-9B82-4FCD-ACAD-F98BEDEE021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{7535345B-9B82-4FCD-ACAD-F98BEDEE0213}</c15:txfldGUID>
                      <c15:f>Tabel!$T$64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485-4EF9-808F-BA7383FB2B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856669-D4E9-4A58-9EE7-996F0154CB33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{C9856669-D4E9-4A58-9EE7-996F0154CB33}</c15:txfldGUID>
                      <c15:f>Tabel!$T$63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485-4EF9-808F-BA7383FB2B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EF9-808F-BA7383FB2B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EF9-808F-BA7383FB2B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EF9-808F-BA7383FB2B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Tabel!$AB$62:$AB$66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Tabel!$AC$62:$AC$66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485-4EF9-808F-BA7383FB2BBB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485-4EF9-808F-BA7383FB2BB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485-4EF9-808F-BA7383FB2BB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EF9-808F-BA7383FB2BB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EF9-808F-BA7383FB2B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6190DF-D449-4B0A-9FFB-F2C360024C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{EF6190DF-D449-4B0A-9FFB-F2C360024C07}</c15:txfldGUID>
                      <c15:f>Tabel!$U$63</c15:f>
                      <c15:dlblFieldTableCache>
                        <c:ptCount val="1"/>
                        <c:pt idx="0">
                          <c:v>-14,02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485-4EF9-808F-BA7383FB2B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8F0D99-4481-486E-AC2D-BCEBDA79149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{248F0D99-4481-486E-AC2D-BCEBDA791495}</c15:txfldGUID>
                      <c15:f>Tabel!$U$64</c15:f>
                      <c15:dlblFieldTableCache>
                        <c:ptCount val="1"/>
                        <c:pt idx="0">
                          <c:v>-12,37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B485-4EF9-808F-BA7383FB2B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EF9-808F-BA7383FB2B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Tabel!$AD$62:$AD$66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345.97900818339667</c:v>
                </c:pt>
                <c:pt idx="3" formatCode="0.00">
                  <c:v>347.62724858684271</c:v>
                </c:pt>
                <c:pt idx="4">
                  <c:v>360</c:v>
                </c:pt>
              </c:numCache>
            </c:numRef>
          </c:xVal>
          <c:yVal>
            <c:numRef>
              <c:f>Tabel!$AE$62:$AE$66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485-4EF9-808F-BA7383FB2BBB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485-4EF9-808F-BA7383FB2BBB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485-4EF9-808F-BA7383FB2BBB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485-4EF9-808F-BA7383FB2BBB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485-4EF9-808F-BA7383FB2BBB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485-4EF9-808F-BA7383FB2BBB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B485-4EF9-808F-BA7383FB2BBB}"/>
            </c:ext>
          </c:extLst>
        </c:ser>
        <c:ser>
          <c:idx val="11"/>
          <c:order val="11"/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B485-4EF9-808F-BA7383FB2BBB}"/>
            </c:ext>
          </c:extLst>
        </c:ser>
        <c:ser>
          <c:idx val="12"/>
          <c:order val="12"/>
          <c:tx>
            <c:strRef>
              <c:f>Tabel!$N$23</c:f>
              <c:strCache>
                <c:ptCount val="1"/>
                <c:pt idx="0">
                  <c:v>15,238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B485-4EF9-808F-BA7383FB2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11-48A0-9A7E-1A7C946BE0DC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411-48A0-9A7E-1A7C946BE0DC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411-48A0-9A7E-1A7C946BE0DC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EA23551-C686-4637-8AE4-521ECC7FADED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{3EA23551-C686-4637-8AE4-521ECC7FADED}</c15:txfldGUID>
                      <c15:f>Tabel!$A$83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11-48A0-9A7E-1A7C946BE0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F0A407-2392-40E0-9887-D3FAC5BD220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{D8F0A407-2392-40E0-9887-D3FAC5BD2207}</c15:txfldGUID>
                      <c15:f>Tabel!$A$84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11-48A0-9A7E-1A7C946BE0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Tabel!$G$82:$G$86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Tabel!$H$82:$H$86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11-48A0-9A7E-1A7C946BE0DC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411-48A0-9A7E-1A7C946BE0DC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411-48A0-9A7E-1A7C946BE0DC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53A3599-974F-4A28-A774-50D9E33D2D8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{353A3599-974F-4A28-A774-50D9E33D2D8E}</c15:txfldGUID>
                      <c15:f>Tabel!$B$83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411-48A0-9A7E-1A7C946BE0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D9B0565-3A6B-4926-B629-8805F03BC56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{8D9B0565-3A6B-4926-B629-8805F03BC562}</c15:txfldGUID>
                      <c15:f>Tabel!$B$84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11-48A0-9A7E-1A7C946BE0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Tabel!$I$82:$I$86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Tabel!$J$82:$J$86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411-48A0-9A7E-1A7C946BE0DC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411-48A0-9A7E-1A7C946BE0DC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411-48A0-9A7E-1A7C946BE0DC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235C003-D280-4F51-93F1-7B79E8CEDC1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{6235C003-D280-4F51-93F1-7B79E8CEDC19}</c15:txfldGUID>
                      <c15:f>Tabel!$C$83</c15:f>
                      <c15:dlblFieldTableCache>
                        <c:ptCount val="1"/>
                        <c:pt idx="0">
                          <c:v>-9,49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11-48A0-9A7E-1A7C946BE0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3E9DEF-4395-48EB-A62A-679DC5200FB5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{833E9DEF-4395-48EB-A62A-679DC5200FB5}</c15:txfldGUID>
                      <c15:f>Tabel!$C$84</c15:f>
                      <c15:dlblFieldTableCache>
                        <c:ptCount val="1"/>
                        <c:pt idx="0">
                          <c:v>8,83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11-48A0-9A7E-1A7C946BE0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Tabel!$K$82:$K$86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250.5094105387457</c:v>
                </c:pt>
                <c:pt idx="3" formatCode="0.00">
                  <c:v>268.82680987704703</c:v>
                </c:pt>
                <c:pt idx="4">
                  <c:v>260</c:v>
                </c:pt>
              </c:numCache>
            </c:numRef>
          </c:xVal>
          <c:yVal>
            <c:numRef>
              <c:f>Tabel!$L$82:$L$86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411-48A0-9A7E-1A7C946BE0DC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411-48A0-9A7E-1A7C946BE0DC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411-48A0-9A7E-1A7C946BE0DC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10955FD3-B98C-4577-B8BB-38E376F7CA4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{10955FD3-B98C-4577-B8BB-38E376F7CA4A}</c15:txfldGUID>
                      <c15:f>Tabel!$D$83</c15:f>
                      <c15:dlblFieldTableCache>
                        <c:ptCount val="1"/>
                        <c:pt idx="0">
                          <c:v>-3,39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11-48A0-9A7E-1A7C946BE0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9FCE9A-8214-405E-B49C-8169F753ECF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{299FCE9A-8214-405E-B49C-8169F753ECF6}</c15:txfldGUID>
                      <c15:f>Tabel!$D$84</c15:f>
                      <c15:dlblFieldTableCache>
                        <c:ptCount val="1"/>
                        <c:pt idx="0">
                          <c:v>-16,29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11-48A0-9A7E-1A7C946BE0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Tabel!$M$82:$M$86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356.60874169175804</c:v>
                </c:pt>
                <c:pt idx="3" formatCode="0.00">
                  <c:v>343.70874935845188</c:v>
                </c:pt>
                <c:pt idx="4">
                  <c:v>360</c:v>
                </c:pt>
              </c:numCache>
            </c:numRef>
          </c:xVal>
          <c:yVal>
            <c:numRef>
              <c:f>Tabel!$N$82:$N$86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411-48A0-9A7E-1A7C946BE0DC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411-48A0-9A7E-1A7C946BE0DC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411-48A0-9A7E-1A7C946BE0DC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411-48A0-9A7E-1A7C946BE0DC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411-48A0-9A7E-1A7C946BE0DC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411-48A0-9A7E-1A7C946BE0DC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411-48A0-9A7E-1A7C946BE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86-4C32-9EE2-502728EFB6C7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DDF8583B-46DD-4EA7-BA8B-3E7A451A632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{DDF8583B-46DD-4EA7-BA8B-3E7A451A6328}</c15:txfldGUID>
                      <c15:f>Tabel!$R$83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686-4C32-9EE2-502728EFB6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5C69B5B-85A5-4BD9-B87E-6CAC8344B46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{35C69B5B-85A5-4BD9-B87E-6CAC8344B464}</c15:txfldGUID>
                      <c15:f>Tabel!$R$84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686-4C32-9EE2-502728EFB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Tabel!$X$82:$X$86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Tabel!$Y$82:$Y$86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6-4C32-9EE2-502728EFB6C7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7190E5A9-561D-43B8-B8A3-5FCC44E3F6D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{7190E5A9-561D-43B8-B8A3-5FCC44E3F6D0}</c15:txfldGUID>
                      <c15:f>Tabel!$S$83</c15:f>
                      <c15:dlblFieldTableCache>
                        <c:ptCount val="1"/>
                        <c:pt idx="0">
                          <c:v>-0,65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686-4C32-9EE2-502728EFB6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848AA7-17D7-4F23-8C1D-B9D94F40550F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{E1848AA7-17D7-4F23-8C1D-B9D94F40550F}</c15:txfldGUID>
                      <c15:f>Tabel!$S$84</c15:f>
                      <c15:dlblFieldTableCache>
                        <c:ptCount val="1"/>
                        <c:pt idx="0">
                          <c:v>0,61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686-4C32-9EE2-502728EFB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Tabel!$Z$82:$Z$86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169.34655753829688</c:v>
                </c:pt>
                <c:pt idx="3" formatCode="0.00">
                  <c:v>170.60774016182981</c:v>
                </c:pt>
                <c:pt idx="4">
                  <c:v>170</c:v>
                </c:pt>
              </c:numCache>
            </c:numRef>
          </c:xVal>
          <c:yVal>
            <c:numRef>
              <c:f>Tabel!$AA$82:$AA$86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686-4C32-9EE2-502728EFB6C7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690759D-66E3-45B1-A2B6-5B13DC45A96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{8690759D-66E3-45B1-A2B6-5B13DC45A966}</c15:txfldGUID>
                      <c15:f>Tabel!$T$84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686-4C32-9EE2-502728EFB6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F96C33-8F14-4D01-A8A5-1720E6DC5067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{ADF96C33-8F14-4D01-A8A5-1720E6DC5067}</c15:txfldGUID>
                      <c15:f>Tabel!$T$83</c15:f>
                      <c15:dlblFieldTableCache>
                        <c:ptCount val="1"/>
                        <c:pt idx="0">
                          <c:v>0,00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686-4C32-9EE2-502728EFB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Tabel!$AB$82:$AB$86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260</c:v>
                </c:pt>
                <c:pt idx="3" formatCode="0.00">
                  <c:v>260</c:v>
                </c:pt>
                <c:pt idx="4">
                  <c:v>260</c:v>
                </c:pt>
              </c:numCache>
            </c:numRef>
          </c:xVal>
          <c:yVal>
            <c:numRef>
              <c:f>Tabel!$AC$82:$AC$86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686-4C32-9EE2-502728EFB6C7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fld id="{9D1A83D3-BF12-4EA2-9CBA-8AD6DCC915A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{9D1A83D3-BF12-4EA2-9CBA-8AD6DCC915A4}</c15:txfldGUID>
                      <c15:f>Tabel!$U$83</c15:f>
                      <c15:dlblFieldTableCache>
                        <c:ptCount val="1"/>
                        <c:pt idx="0">
                          <c:v>-10,73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686-4C32-9EE2-502728EFB6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D2FD61D-9364-4421-9A16-C42D6BA6A8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{5D2FD61D-9364-4421-9A16-C42D6BA6A856}</c15:txfldGUID>
                      <c15:f>Tabel!$U$84</c15:f>
                      <c15:dlblFieldTableCache>
                        <c:ptCount val="1"/>
                        <c:pt idx="0">
                          <c:v>-9,47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686-4C32-9EE2-502728EFB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Tabel!$AD$82:$AD$86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349.27157033232101</c:v>
                </c:pt>
                <c:pt idx="3" formatCode="0.00">
                  <c:v>350.53275295585394</c:v>
                </c:pt>
                <c:pt idx="4">
                  <c:v>360</c:v>
                </c:pt>
              </c:numCache>
            </c:numRef>
          </c:xVal>
          <c:yVal>
            <c:numRef>
              <c:f>Tabel!$AE$82:$AE$86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686-4C32-9EE2-502728EFB6C7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686-4C32-9EE2-502728EFB6C7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686-4C32-9EE2-502728EFB6C7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686-4C32-9EE2-502728EFB6C7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686-4C32-9EE2-502728EFB6C7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686-4C32-9EE2-502728EFB6C7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686-4C32-9EE2-502728EFB6C7}"/>
            </c:ext>
          </c:extLst>
        </c:ser>
        <c:ser>
          <c:idx val="11"/>
          <c:order val="11"/>
          <c:tx>
            <c:strRef>
              <c:f>Tabel!$K$19</c:f>
              <c:strCache>
                <c:ptCount val="1"/>
                <c:pt idx="0">
                  <c:v>B'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686-4C32-9EE2-502728EFB6C7}"/>
            </c:ext>
          </c:extLst>
        </c:ser>
        <c:ser>
          <c:idx val="12"/>
          <c:order val="12"/>
          <c:tx>
            <c:strRef>
              <c:f>Tabel!$K$23</c:f>
              <c:strCache>
                <c:ptCount val="1"/>
                <c:pt idx="0">
                  <c:v>M'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686-4C32-9EE2-502728EFB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E5-4605-B5EC-D419BE52935B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0E5-4605-B5EC-D419BE52935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0E5-4605-B5EC-D419BE52935B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3D8F0948-AF58-4F5F-996A-647FF6B7A3D2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{3D8F0948-AF58-4F5F-996A-647FF6B7A3D2}</c15:txfldGUID>
                      <c15:f>Tabel!$A$103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0E5-4605-B5EC-D419BE529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FB30D5-0341-4960-A1EE-A7A576215BD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{02FB30D5-0341-4960-A1EE-A7A576215BD6}</c15:txfldGUID>
                      <c15:f>Tabel!$A$104</c15:f>
                      <c15:dlblFieldTableCache>
                        <c:ptCount val="1"/>
                        <c:pt idx="0">
                          <c:v>-10,07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0E5-4605-B5EC-D419BE529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Tabel!$G$102:$G$106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 formatCode="0.00">
                  <c:v>79.925012794024127</c:v>
                </c:pt>
                <c:pt idx="3" formatCode="0.00">
                  <c:v>79.925012794024127</c:v>
                </c:pt>
                <c:pt idx="4">
                  <c:v>90</c:v>
                </c:pt>
              </c:numCache>
            </c:numRef>
          </c:xVal>
          <c:yVal>
            <c:numRef>
              <c:f>Tabel!$H$102:$H$106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E5-4605-B5EC-D419BE52935B}"/>
            </c:ext>
          </c:extLst>
        </c:ser>
        <c:ser>
          <c:idx val="2"/>
          <c:order val="2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0E5-4605-B5EC-D419BE52935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0E5-4605-B5EC-D419BE52935B}"/>
              </c:ext>
            </c:extLst>
          </c:dPt>
          <c:dLbls>
            <c:dLbl>
              <c:idx val="2"/>
              <c:layout>
                <c:manualLayout>
                  <c:x val="-1.0733923118740517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150975A-D06E-4780-A19F-B99030B26E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{6150975A-D06E-4780-A19F-B99030B26E81}</c15:txfldGUID>
                      <c15:f>Tabel!$B$103</c15:f>
                      <c15:dlblFieldTableCache>
                        <c:ptCount val="1"/>
                        <c:pt idx="0">
                          <c:v>16,17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0E5-4605-B5EC-D419BE529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C4FF18A-A6BD-4258-B935-3F6F6048B1A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{6C4FF18A-A6BD-4258-B935-3F6F6048B1A6}</c15:txfldGUID>
                      <c15:f>Tabel!$B$104</c15:f>
                      <c15:dlblFieldTableCache>
                        <c:ptCount val="1"/>
                        <c:pt idx="0">
                          <c:v>-15,04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0E5-4605-B5EC-D419BE529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Tabel!$I$102:$I$106</c:f>
              <c:numCache>
                <c:formatCode>General</c:formatCode>
                <c:ptCount val="5"/>
                <c:pt idx="0">
                  <c:v>170</c:v>
                </c:pt>
                <c:pt idx="1">
                  <c:v>170</c:v>
                </c:pt>
                <c:pt idx="2" formatCode="0.00">
                  <c:v>186.17431835898822</c:v>
                </c:pt>
                <c:pt idx="3" formatCode="0.00">
                  <c:v>154.95692668738073</c:v>
                </c:pt>
                <c:pt idx="4">
                  <c:v>170</c:v>
                </c:pt>
              </c:numCache>
            </c:numRef>
          </c:xVal>
          <c:yVal>
            <c:numRef>
              <c:f>Tabel!$J$102:$J$106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0E5-4605-B5EC-D419BE52935B}"/>
            </c:ext>
          </c:extLst>
        </c:ser>
        <c:ser>
          <c:idx val="3"/>
          <c:order val="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0E5-4605-B5EC-D419BE52935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D0E5-4605-B5EC-D419BE52935B}"/>
              </c:ext>
            </c:extLst>
          </c:dPt>
          <c:dLbls>
            <c:dLbl>
              <c:idx val="2"/>
              <c:layout>
                <c:manualLayout>
                  <c:x val="-7.3505905517134984E-2"/>
                  <c:y val="-1.616879469818539E-17"/>
                </c:manualLayout>
              </c:layout>
              <c:tx>
                <c:rich>
                  <a:bodyPr/>
                  <a:lstStyle/>
                  <a:p>
                    <a:fld id="{6CACB450-20F2-477E-AB63-301617E6825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{6CACB450-20F2-477E-AB63-301617E68250}</c15:txfldGUID>
                      <c15:f>Tabel!$C$103</c15:f>
                      <c15:dlblFieldTableCache>
                        <c:ptCount val="1"/>
                        <c:pt idx="0">
                          <c:v>-16,87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0E5-4605-B5EC-D419BE529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E9D178-09C9-413D-A6FB-DAE72AD44DAC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{85E9D178-09C9-413D-A6FB-DAE72AD44DAC}</c15:txfldGUID>
                      <c15:f>Tabel!$C$104</c15:f>
                      <c15:dlblFieldTableCache>
                        <c:ptCount val="1"/>
                        <c:pt idx="0">
                          <c:v>15,69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0E5-4605-B5EC-D419BE529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Tabel!$K$102:$K$106</c:f>
              <c:numCache>
                <c:formatCode>General</c:formatCode>
                <c:ptCount val="5"/>
                <c:pt idx="0">
                  <c:v>260</c:v>
                </c:pt>
                <c:pt idx="1">
                  <c:v>260</c:v>
                </c:pt>
                <c:pt idx="2" formatCode="0.00">
                  <c:v>243.134429016681</c:v>
                </c:pt>
                <c:pt idx="3" formatCode="0.00">
                  <c:v>275.6859791633978</c:v>
                </c:pt>
                <c:pt idx="4">
                  <c:v>260</c:v>
                </c:pt>
              </c:numCache>
            </c:numRef>
          </c:xVal>
          <c:yVal>
            <c:numRef>
              <c:f>Tabel!$L$102:$L$106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0E5-4605-B5EC-D419BE52935B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0E5-4605-B5EC-D419BE52935B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0E5-4605-B5EC-D419BE52935B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49672A6A-6648-4830-8FF5-F48DBD57C65A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{49672A6A-6648-4830-8FF5-F48DBD57C65A}</c15:txfldGUID>
                      <c15:f>Tabel!$D$103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0E5-4605-B5EC-D419BE529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C5637A-3589-4567-B548-5EBC50224E5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{CAC5637A-3589-4567-B548-5EBC50224E56}</c15:txfldGUID>
                      <c15:f>Tabel!$D$104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0E5-4605-B5EC-D419BE529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Tabel!$M$102:$M$106</c:f>
              <c:numCache>
                <c:formatCode>General</c:formatCode>
                <c:ptCount val="5"/>
                <c:pt idx="0">
                  <c:v>360</c:v>
                </c:pt>
                <c:pt idx="1">
                  <c:v>360</c:v>
                </c:pt>
                <c:pt idx="2" formatCode="0.00">
                  <c:v>349.23376016969337</c:v>
                </c:pt>
                <c:pt idx="3" formatCode="0.00">
                  <c:v>350.56791864480266</c:v>
                </c:pt>
                <c:pt idx="4">
                  <c:v>360</c:v>
                </c:pt>
              </c:numCache>
            </c:numRef>
          </c:xVal>
          <c:yVal>
            <c:numRef>
              <c:f>Tabel!$N$102:$N$106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0E5-4605-B5EC-D419BE52935B}"/>
            </c:ext>
          </c:extLst>
        </c:ser>
        <c:ser>
          <c:idx val="5"/>
          <c:order val="5"/>
          <c:tx>
            <c:v>add(1)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Tabel!$K$52:$K$53</c:f>
              <c:numCache>
                <c:formatCode>General</c:formatCode>
                <c:ptCount val="2"/>
                <c:pt idx="0">
                  <c:v>135</c:v>
                </c:pt>
                <c:pt idx="1">
                  <c:v>125</c:v>
                </c:pt>
              </c:numCache>
            </c:numRef>
          </c:xVal>
          <c:yVal>
            <c:numRef>
              <c:f>Tabel!$L$52:$L$53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0E5-4605-B5EC-D419BE52935B}"/>
            </c:ext>
          </c:extLst>
        </c:ser>
        <c:ser>
          <c:idx val="6"/>
          <c:order val="6"/>
          <c:tx>
            <c:v>add(2)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Tabel!$K$54:$K$55</c:f>
              <c:numCache>
                <c:formatCode>General</c:formatCode>
                <c:ptCount val="2"/>
                <c:pt idx="0">
                  <c:v>130</c:v>
                </c:pt>
                <c:pt idx="1">
                  <c:v>130</c:v>
                </c:pt>
              </c:numCache>
            </c:numRef>
          </c:xVal>
          <c:yVal>
            <c:numRef>
              <c:f>Tabel!$L$54:$L$55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0E5-4605-B5EC-D419BE52935B}"/>
            </c:ext>
          </c:extLst>
        </c:ser>
        <c:ser>
          <c:idx val="7"/>
          <c:order val="7"/>
          <c:tx>
            <c:v>add(3)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Tabel!$M$52:$M$53</c:f>
              <c:numCache>
                <c:formatCode>General</c:formatCode>
                <c:ptCount val="2"/>
                <c:pt idx="0">
                  <c:v>215</c:v>
                </c:pt>
                <c:pt idx="1">
                  <c:v>205</c:v>
                </c:pt>
              </c:numCache>
            </c:numRef>
          </c:xVal>
          <c:yVal>
            <c:numRef>
              <c:f>Tabel!$N$52:$N$53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0E5-4605-B5EC-D419BE52935B}"/>
            </c:ext>
          </c:extLst>
        </c:ser>
        <c:ser>
          <c:idx val="8"/>
          <c:order val="8"/>
          <c:tx>
            <c:v>add(4)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Tabel!$M$54:$M$55</c:f>
              <c:numCache>
                <c:formatCode>General</c:formatCode>
                <c:ptCount val="2"/>
                <c:pt idx="0">
                  <c:v>210</c:v>
                </c:pt>
                <c:pt idx="1">
                  <c:v>210</c:v>
                </c:pt>
              </c:numCache>
            </c:numRef>
          </c:xVal>
          <c:yVal>
            <c:numRef>
              <c:f>Tabel!$N$54:$N$55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0E5-4605-B5EC-D419BE52935B}"/>
            </c:ext>
          </c:extLst>
        </c:ser>
        <c:ser>
          <c:idx val="9"/>
          <c:order val="9"/>
          <c:tx>
            <c:v>equal(1)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Tabel!$O$52:$O$53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Tabel!$P$52:$P$53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0E5-4605-B5EC-D419BE52935B}"/>
            </c:ext>
          </c:extLst>
        </c:ser>
        <c:ser>
          <c:idx val="10"/>
          <c:order val="10"/>
          <c:tx>
            <c:v>equal(2)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Tabel!$O$54:$O$55</c:f>
              <c:numCache>
                <c:formatCode>General</c:formatCode>
                <c:ptCount val="2"/>
                <c:pt idx="0">
                  <c:v>295</c:v>
                </c:pt>
                <c:pt idx="1">
                  <c:v>305</c:v>
                </c:pt>
              </c:numCache>
            </c:numRef>
          </c:xVal>
          <c:yVal>
            <c:numRef>
              <c:f>Tabel!$P$54:$P$55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0E5-4605-B5EC-D419BE529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39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6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76-46B3-B3F7-33BBA82F59C9}"/>
            </c:ext>
          </c:extLst>
        </c:ser>
        <c:ser>
          <c:idx val="1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976-46B3-B3F7-33BBA82F59C9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976-46B3-B3F7-33BBA82F59C9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6E10A558-4D13-4F77-B196-0E842426907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{6E10A558-4D13-4F77-B196-0E8424269070}</c15:txfldGUID>
                      <c15:f>Tabel!$A$123</c15:f>
                      <c15:dlblFieldTableCache>
                        <c:ptCount val="1"/>
                        <c:pt idx="0">
                          <c:v>-10,77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976-46B3-B3F7-33BBA82F59C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B6081A1-9805-4DFC-8960-C52E30EDA9C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{BB6081A1-9805-4DFC-8960-C52E30EDA9C0}</c15:txfldGUID>
                      <c15:f>Tabel!$A$124</c15:f>
                      <c15:dlblFieldTableCache>
                        <c:ptCount val="1"/>
                        <c:pt idx="0">
                          <c:v>-9,43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976-46B3-B3F7-33BBA82F59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Tabel!$G$124:$G$128</c:f>
              <c:numCache>
                <c:formatCode>General</c:formatCode>
                <c:ptCount val="5"/>
                <c:pt idx="0">
                  <c:v>115</c:v>
                </c:pt>
                <c:pt idx="1">
                  <c:v>115</c:v>
                </c:pt>
                <c:pt idx="2" formatCode="0.00">
                  <c:v>95</c:v>
                </c:pt>
                <c:pt idx="3" formatCode="0.00">
                  <c:v>97.478411211598086</c:v>
                </c:pt>
                <c:pt idx="4">
                  <c:v>115</c:v>
                </c:pt>
              </c:numCache>
            </c:numRef>
          </c:xVal>
          <c:yVal>
            <c:numRef>
              <c:f>Tabel!$H$124:$H$128</c:f>
              <c:numCache>
                <c:formatCode>General</c:formatCode>
                <c:ptCount val="5"/>
                <c:pt idx="0">
                  <c:v>-50</c:v>
                </c:pt>
                <c:pt idx="1">
                  <c:v>50</c:v>
                </c:pt>
                <c:pt idx="2">
                  <c:v>50</c:v>
                </c:pt>
                <c:pt idx="3">
                  <c:v>-50</c:v>
                </c:pt>
                <c:pt idx="4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76-46B3-B3F7-33BBA82F59C9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976-46B3-B3F7-33BBA82F59C9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976-46B3-B3F7-33BBA82F59C9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fld id="{74E94BD4-68E3-4248-91B5-1EE551E1807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{74E94BD4-68E3-4248-91B5-1EE551E18071}</c15:txfldGUID>
                      <c15:f>Tabel!$B$123</c15:f>
                      <c15:dlblFieldTableCache>
                        <c:ptCount val="1"/>
                        <c:pt idx="0">
                          <c:v>-0,91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976-46B3-B3F7-33BBA82F59C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80CCA6-3A4D-4FC0-BD25-5636FD066DB4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{E980CCA6-3A4D-4FC0-BD25-5636FD066DB4}</c15:txfldGUID>
                      <c15:f>Tabel!$B$125</c15:f>
                      <c15:dlblFieldTableCache>
                        <c:ptCount val="1"/>
                        <c:pt idx="0">
                          <c:v>-0,95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976-46B3-B3F7-33BBA82F59C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ABB95EC-8FAF-40FC-BC38-03F88498D006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{EABB95EC-8FAF-40FC-BC38-03F88498D006}</c15:txfldGUID>
                      <c15:f>Tabel!$B$124</c15:f>
                      <c15:dlblFieldTableCache>
                        <c:ptCount val="1"/>
                        <c:pt idx="0">
                          <c:v>-0,68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976-46B3-B3F7-33BBA82F59C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358723A-05AA-4460-9966-7738FEDFB3B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{0358723A-05AA-4460-9966-7738FEDFB3BE}</c15:txfldGUID>
                      <c15:f>Tabel!$B$126</c15:f>
                      <c15:dlblFieldTableCache>
                        <c:ptCount val="1"/>
                        <c:pt idx="0">
                          <c:v>1,83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976-46B3-B3F7-33BBA82F59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Tabel!$I$122:$I$128</c:f>
              <c:numCache>
                <c:formatCode>General</c:formatCode>
                <c:ptCount val="7"/>
                <c:pt idx="0">
                  <c:v>205</c:v>
                </c:pt>
                <c:pt idx="1">
                  <c:v>205</c:v>
                </c:pt>
                <c:pt idx="2" formatCode="0.00">
                  <c:v>203.30985293737845</c:v>
                </c:pt>
                <c:pt idx="3" formatCode="0.00">
                  <c:v>203.74537771973695</c:v>
                </c:pt>
                <c:pt idx="4" formatCode="0.00">
                  <c:v>203.22790720779005</c:v>
                </c:pt>
                <c:pt idx="5" formatCode="0.00">
                  <c:v>208.39523035692929</c:v>
                </c:pt>
                <c:pt idx="6">
                  <c:v>205</c:v>
                </c:pt>
              </c:numCache>
            </c:numRef>
          </c:xVal>
          <c:yVal>
            <c:numRef>
              <c:f>Tabel!$J$122:$J$128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976-46B3-B3F7-33BBA82F59C9}"/>
            </c:ext>
          </c:extLst>
        </c:ser>
        <c:ser>
          <c:idx val="9"/>
          <c:order val="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976-46B3-B3F7-33BBA82F59C9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976-46B3-B3F7-33BBA82F59C9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CA54684D-253D-43C0-873B-3B16E71A274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{CA54684D-253D-43C0-873B-3B16E71A2741}</c15:txfldGUID>
                      <c15:f>Tabel!$C$123</c15:f>
                      <c15:dlblFieldTableCache>
                        <c:ptCount val="1"/>
                        <c:pt idx="0">
                          <c:v>-3,06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976-46B3-B3F7-33BBA82F59C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D3EE0D-7265-4B81-A843-8E7FED77F459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{F5D3EE0D-7265-4B81-A843-8E7FED77F459}</c15:txfldGUID>
                      <c15:f>Tabel!$C$124</c15:f>
                      <c15:dlblFieldTableCache>
                        <c:ptCount val="1"/>
                        <c:pt idx="0">
                          <c:v>-2,27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976-46B3-B3F7-33BBA82F59C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0CDFCA8-0ABF-4297-88C9-915D8D63993B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{A0CDFCA8-0ABF-4297-88C9-915D8D63993B}</c15:txfldGUID>
                      <c15:f>Tabel!$C$125</c15:f>
                      <c15:dlblFieldTableCache>
                        <c:ptCount val="1"/>
                        <c:pt idx="0">
                          <c:v>-3,21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976-46B3-B3F7-33BBA82F59C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C1E0F9D-FD27-46ED-9FF5-DB732368B4EE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{4C1E0F9D-FD27-46ED-9FF5-DB732368B4EE}</c15:txfldGUID>
                      <c15:f>Tabel!$C$126</c15:f>
                      <c15:dlblFieldTableCache>
                        <c:ptCount val="1"/>
                        <c:pt idx="0">
                          <c:v>6,14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976-46B3-B3F7-33BBA82F59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Tabel!$K$122:$K$128</c:f>
              <c:numCache>
                <c:formatCode>General</c:formatCode>
                <c:ptCount val="7"/>
                <c:pt idx="0">
                  <c:v>295</c:v>
                </c:pt>
                <c:pt idx="1">
                  <c:v>295</c:v>
                </c:pt>
                <c:pt idx="2" formatCode="0.00">
                  <c:v>289.31758734782557</c:v>
                </c:pt>
                <c:pt idx="3" formatCode="0.00">
                  <c:v>290.78185728524204</c:v>
                </c:pt>
                <c:pt idx="4" formatCode="0.00">
                  <c:v>289.04207910306809</c:v>
                </c:pt>
                <c:pt idx="5" formatCode="0.00">
                  <c:v>306.41504213682845</c:v>
                </c:pt>
                <c:pt idx="6">
                  <c:v>295</c:v>
                </c:pt>
              </c:numCache>
            </c:numRef>
          </c:xVal>
          <c:yVal>
            <c:numRef>
              <c:f>Tabel!$L$122:$L$128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976-46B3-B3F7-33BBA82F59C9}"/>
            </c:ext>
          </c:extLst>
        </c:ser>
        <c:ser>
          <c:idx val="11"/>
          <c:order val="6"/>
          <c:tx>
            <c:strRef>
              <c:f>Tabel!$Q$2</c:f>
              <c:strCache>
                <c:ptCount val="1"/>
                <c:pt idx="0">
                  <c:v>H'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Tabel!$T$2:$T$3</c:f>
              <c:numCache>
                <c:formatCode>0.000</c:formatCode>
                <c:ptCount val="2"/>
                <c:pt idx="0">
                  <c:v>-50</c:v>
                </c:pt>
                <c:pt idx="1">
                  <c:v>-15.238095238095239</c:v>
                </c:pt>
              </c:numCache>
            </c:numRef>
          </c:xVal>
          <c:yVal>
            <c:numRef>
              <c:f>Tabel!$U$2:$U$3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976-46B3-B3F7-33BBA82F59C9}"/>
            </c:ext>
          </c:extLst>
        </c:ser>
        <c:ser>
          <c:idx val="12"/>
          <c:order val="7"/>
          <c:tx>
            <c:strRef>
              <c:f>Tabel!$Q$4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Tabel!$T$4:$T$5</c:f>
              <c:numCache>
                <c:formatCode>0.000</c:formatCode>
                <c:ptCount val="2"/>
                <c:pt idx="0">
                  <c:v>15.238095238095239</c:v>
                </c:pt>
                <c:pt idx="1">
                  <c:v>50</c:v>
                </c:pt>
              </c:numCache>
            </c:numRef>
          </c:xVal>
          <c:yVal>
            <c:numRef>
              <c:f>Tabel!$U$4:$U$5</c:f>
              <c:numCache>
                <c:formatCode>0.000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976-46B3-B3F7-33BBA82F59C9}"/>
            </c:ext>
          </c:extLst>
        </c:ser>
        <c:ser>
          <c:idx val="13"/>
          <c:order val="8"/>
          <c:tx>
            <c:strRef>
              <c:f>Tabel!$Q$6</c:f>
              <c:strCache>
                <c:ptCount val="1"/>
                <c:pt idx="0">
                  <c:v>Q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Tabel!$T$6:$T$7</c:f>
              <c:numCache>
                <c:formatCode>0.000</c:formatCode>
                <c:ptCount val="2"/>
                <c:pt idx="0">
                  <c:v>-50</c:v>
                </c:pt>
                <c:pt idx="1">
                  <c:v>50</c:v>
                </c:pt>
              </c:numCache>
            </c:numRef>
          </c:xVal>
          <c:yVal>
            <c:numRef>
              <c:f>Tabel!$U$6:$U$7</c:f>
              <c:numCache>
                <c:formatCode>0.000</c:formatCode>
                <c:ptCount val="2"/>
                <c:pt idx="0">
                  <c:v>61.904761904761905</c:v>
                </c:pt>
                <c:pt idx="1">
                  <c:v>61.904761904761905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976-46B3-B3F7-33BBA82F59C9}"/>
            </c:ext>
          </c:extLst>
        </c:ser>
        <c:ser>
          <c:idx val="10"/>
          <c:order val="9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976-46B3-B3F7-33BBA82F59C9}"/>
              </c:ext>
            </c:extLst>
          </c:dPt>
          <c:dPt>
            <c:idx val="3"/>
            <c:marker>
              <c:symbol val="circle"/>
              <c:size val="4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976-46B3-B3F7-33BBA82F59C9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976-46B3-B3F7-33BBA82F59C9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976-46B3-B3F7-33BBA82F59C9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F1685967-BCC7-45B9-96F9-89D682A56D8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{F1685967-BCC7-45B9-96F9-89D682A56D81}</c15:txfldGUID>
                      <c15:f>Tabel!$E$123</c15:f>
                      <c15:dlblFieldTableCache>
                        <c:ptCount val="1"/>
                        <c:pt idx="0">
                          <c:v>-3,97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976-46B3-B3F7-33BBA82F59C9}"/>
                </c:ext>
              </c:extLst>
            </c:dLbl>
            <c:dLbl>
              <c:idx val="3"/>
              <c:layout>
                <c:manualLayout>
                  <c:x val="-5.9463516398493656E-2"/>
                  <c:y val="7.7611111111111075E-2"/>
                </c:manualLayout>
              </c:layout>
              <c:tx>
                <c:rich>
                  <a:bodyPr/>
                  <a:lstStyle/>
                  <a:p>
                    <a:fld id="{249128E9-404F-492C-8B98-936295B25191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{249128E9-404F-492C-8B98-936295B25191}</c15:txfldGUID>
                      <c15:f>Tabel!$E$124</c15:f>
                      <c15:dlblFieldTableCache>
                        <c:ptCount val="1"/>
                        <c:pt idx="0">
                          <c:v>-2,95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976-46B3-B3F7-33BBA82F59C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44768F-F07D-491D-9827-C2FBDCB5BD38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{E044768F-F07D-491D-9827-C2FBDCB5BD38}</c15:txfldGUID>
                      <c15:f>Tabel!$E$125</c15:f>
                      <c15:dlblFieldTableCache>
                        <c:ptCount val="1"/>
                        <c:pt idx="0">
                          <c:v>-14,93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976-46B3-B3F7-33BBA82F59C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7760F19-E95B-48C1-BC58-8CBCBA8EB5B0}" type="CELLREF">
                      <a:rPr lang="en-US"/>
                      <a:pPr/>
                      <a:t>[CELLREF]</a:t>
                    </a:fld>
                    <a:endParaRPr lang="en-ID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{F7760F19-E95B-48C1-BC58-8CBCBA8EB5B0}</c15:txfldGUID>
                      <c15:f>Tabel!$E$126</c15:f>
                      <c15:dlblFieldTableCache>
                        <c:ptCount val="1"/>
                        <c:pt idx="0">
                          <c:v>-1,46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976-46B3-B3F7-33BBA82F59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Tabel!$M$122:$M$128</c:f>
              <c:numCache>
                <c:formatCode>General</c:formatCode>
                <c:ptCount val="7"/>
                <c:pt idx="0">
                  <c:v>415</c:v>
                </c:pt>
                <c:pt idx="1">
                  <c:v>415</c:v>
                </c:pt>
                <c:pt idx="2" formatCode="0.00">
                  <c:v>409.78030850223286</c:v>
                </c:pt>
                <c:pt idx="3" formatCode="0.00">
                  <c:v>411.12534234799625</c:v>
                </c:pt>
                <c:pt idx="4" formatCode="0.00">
                  <c:v>387.26998631085809</c:v>
                </c:pt>
                <c:pt idx="5" formatCode="0.00">
                  <c:v>412.28868370535582</c:v>
                </c:pt>
                <c:pt idx="6">
                  <c:v>415</c:v>
                </c:pt>
              </c:numCache>
            </c:numRef>
          </c:xVal>
          <c:yVal>
            <c:numRef>
              <c:f>Tabel!$N$122:$N$128</c:f>
              <c:numCache>
                <c:formatCode>0.000</c:formatCode>
                <c:ptCount val="7"/>
                <c:pt idx="0" formatCode="General">
                  <c:v>-50</c:v>
                </c:pt>
                <c:pt idx="1">
                  <c:v>61.904761904761905</c:v>
                </c:pt>
                <c:pt idx="2">
                  <c:v>61.904761904761905</c:v>
                </c:pt>
                <c:pt idx="3" formatCode="General">
                  <c:v>50</c:v>
                </c:pt>
                <c:pt idx="4" formatCode="General">
                  <c:v>50</c:v>
                </c:pt>
                <c:pt idx="5" formatCode="General">
                  <c:v>-50</c:v>
                </c:pt>
                <c:pt idx="6" formatCode="General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976-46B3-B3F7-33BBA82F59C9}"/>
            </c:ext>
          </c:extLst>
        </c:ser>
        <c:ser>
          <c:idx val="5"/>
          <c:order val="1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Tabel!$K$111:$K$112</c:f>
              <c:numCache>
                <c:formatCode>General</c:formatCode>
                <c:ptCount val="2"/>
                <c:pt idx="0">
                  <c:v>160</c:v>
                </c:pt>
                <c:pt idx="1">
                  <c:v>150</c:v>
                </c:pt>
              </c:numCache>
            </c:numRef>
          </c:xVal>
          <c:yVal>
            <c:numRef>
              <c:f>Tabel!$L$111:$L$112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976-46B3-B3F7-33BBA82F59C9}"/>
            </c:ext>
          </c:extLst>
        </c:ser>
        <c:ser>
          <c:idx val="6"/>
          <c:order val="1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Tabel!$K$113:$K$114</c:f>
              <c:numCache>
                <c:formatCode>General</c:formatCode>
                <c:ptCount val="2"/>
                <c:pt idx="0">
                  <c:v>155</c:v>
                </c:pt>
                <c:pt idx="1">
                  <c:v>155</c:v>
                </c:pt>
              </c:numCache>
            </c:numRef>
          </c:xVal>
          <c:yVal>
            <c:numRef>
              <c:f>Tabel!$L$113:$L$114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976-46B3-B3F7-33BBA82F59C9}"/>
            </c:ext>
          </c:extLst>
        </c:ser>
        <c:ser>
          <c:idx val="7"/>
          <c:order val="12"/>
          <c:tx>
            <c:strRef>
              <c:f>Tabel!$M$111:$M$112</c:f>
              <c:strCache>
                <c:ptCount val="2"/>
                <c:pt idx="0">
                  <c:v>250</c:v>
                </c:pt>
                <c:pt idx="1">
                  <c:v>240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Tabel!$M$111:$M$112</c:f>
              <c:numCache>
                <c:formatCode>General</c:formatCode>
                <c:ptCount val="2"/>
                <c:pt idx="0">
                  <c:v>250</c:v>
                </c:pt>
                <c:pt idx="1">
                  <c:v>240</c:v>
                </c:pt>
              </c:numCache>
            </c:numRef>
          </c:xVal>
          <c:yVal>
            <c:numRef>
              <c:f>Tabel!$N$111:$N$112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976-46B3-B3F7-33BBA82F59C9}"/>
            </c:ext>
          </c:extLst>
        </c:ser>
        <c:ser>
          <c:idx val="8"/>
          <c:order val="13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Tabel!$M$113:$M$114</c:f>
              <c:numCache>
                <c:formatCode>General</c:formatCode>
                <c:ptCount val="2"/>
                <c:pt idx="0">
                  <c:v>245</c:v>
                </c:pt>
                <c:pt idx="1">
                  <c:v>245</c:v>
                </c:pt>
              </c:numCache>
            </c:numRef>
          </c:xVal>
          <c:yVal>
            <c:numRef>
              <c:f>Tabel!$N$113:$N$114</c:f>
              <c:numCache>
                <c:formatCode>General</c:formatCode>
                <c:ptCount val="2"/>
                <c:pt idx="0">
                  <c:v>5</c:v>
                </c:pt>
                <c:pt idx="1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976-46B3-B3F7-33BBA82F59C9}"/>
            </c:ext>
          </c:extLst>
        </c:ser>
        <c:ser>
          <c:idx val="14"/>
          <c:order val="1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Tabel!$O$111:$O$112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Tabel!$P$111:$P$112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4976-46B3-B3F7-33BBA82F59C9}"/>
            </c:ext>
          </c:extLst>
        </c:ser>
        <c:ser>
          <c:idx val="15"/>
          <c:order val="15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Tabel!$O$113:$O$114</c:f>
              <c:numCache>
                <c:formatCode>General</c:formatCode>
                <c:ptCount val="2"/>
                <c:pt idx="0">
                  <c:v>340</c:v>
                </c:pt>
                <c:pt idx="1">
                  <c:v>350</c:v>
                </c:pt>
              </c:numCache>
            </c:numRef>
          </c:xVal>
          <c:yVal>
            <c:numRef>
              <c:f>Tabel!$P$113:$P$114</c:f>
              <c:numCache>
                <c:formatCode>General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4976-46B3-B3F7-33BBA82F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43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75"/>
          <c:min val="-6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Tabel!$N$2:$N$18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-15.238095238095239</c:v>
                </c:pt>
                <c:pt idx="3">
                  <c:v>-15.238095238095239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15.238095238095239</c:v>
                </c:pt>
                <c:pt idx="13">
                  <c:v>15.238095238095239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Tabel!$O$2:$O$18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-36.666666666666671</c:v>
                </c:pt>
                <c:pt idx="3">
                  <c:v>38.952380952380956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38.952380952380956</c:v>
                </c:pt>
                <c:pt idx="13">
                  <c:v>-36.666666666666671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C9-4646-9569-582342458FA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Tabel!$I$35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Tabel!$J$35</c:f>
              <c:numCache>
                <c:formatCode>0.00</c:formatCode>
                <c:ptCount val="1"/>
                <c:pt idx="0">
                  <c:v>32.857142857142854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C9-4646-9569-582342458FAD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Tabel!$I$36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Tabel!$J$36</c:f>
              <c:numCache>
                <c:formatCode>0.00</c:formatCode>
                <c:ptCount val="1"/>
                <c:pt idx="0">
                  <c:v>12.380952380952381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C9-4646-9569-582342458FAD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Tabel!$I$37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Tabel!$J$37</c:f>
              <c:numCache>
                <c:formatCode>0.00</c:formatCode>
                <c:ptCount val="1"/>
                <c:pt idx="0">
                  <c:v>-8.0952380952380967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C9-4646-9569-582342458FAD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Tabel!$I$38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Tabel!$J$38</c:f>
              <c:numCache>
                <c:formatCode>0.00</c:formatCode>
                <c:ptCount val="1"/>
                <c:pt idx="0">
                  <c:v>-28.571428571428577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1C9-4646-9569-582342458FAD}"/>
            </c:ext>
          </c:extLst>
        </c:ser>
        <c:ser>
          <c:idx val="5"/>
          <c:order val="5"/>
          <c:tx>
            <c:v>dalam kiri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Tabel!$N$19:$N$22</c:f>
              <c:numCache>
                <c:formatCode>0.000</c:formatCode>
                <c:ptCount val="4"/>
                <c:pt idx="0">
                  <c:v>-15.238095238095239</c:v>
                </c:pt>
                <c:pt idx="1">
                  <c:v>-4.7619047619047619</c:v>
                </c:pt>
                <c:pt idx="2">
                  <c:v>-4.7619047619047619</c:v>
                </c:pt>
                <c:pt idx="3">
                  <c:v>-15.238095238095239</c:v>
                </c:pt>
              </c:numCache>
            </c:numRef>
          </c:xVal>
          <c:yVal>
            <c:numRef>
              <c:f>Tabel!$O$19:$O$22</c:f>
              <c:numCache>
                <c:formatCode>0.000</c:formatCode>
                <c:ptCount val="4"/>
                <c:pt idx="0">
                  <c:v>-36.666666666666671</c:v>
                </c:pt>
                <c:pt idx="1">
                  <c:v>-26.190476190476193</c:v>
                </c:pt>
                <c:pt idx="2">
                  <c:v>34.761904761904766</c:v>
                </c:pt>
                <c:pt idx="3">
                  <c:v>38.952380952380956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1C9-4646-9569-582342458FAD}"/>
            </c:ext>
          </c:extLst>
        </c:ser>
        <c:ser>
          <c:idx val="6"/>
          <c:order val="6"/>
          <c:tx>
            <c:v>dalam kanan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Tabel!$N$23:$N$26</c:f>
              <c:numCache>
                <c:formatCode>0.000</c:formatCode>
                <c:ptCount val="4"/>
                <c:pt idx="0">
                  <c:v>15.238095238095239</c:v>
                </c:pt>
                <c:pt idx="1">
                  <c:v>4.7619047619047619</c:v>
                </c:pt>
                <c:pt idx="2">
                  <c:v>4.7619047619047619</c:v>
                </c:pt>
                <c:pt idx="3">
                  <c:v>15.238095238095239</c:v>
                </c:pt>
              </c:numCache>
            </c:numRef>
          </c:xVal>
          <c:yVal>
            <c:numRef>
              <c:f>Tabel!$O$23:$O$26</c:f>
              <c:numCache>
                <c:formatCode>0.000</c:formatCode>
                <c:ptCount val="4"/>
                <c:pt idx="0">
                  <c:v>38.952380952380956</c:v>
                </c:pt>
                <c:pt idx="1">
                  <c:v>34.761904761904766</c:v>
                </c:pt>
                <c:pt idx="2">
                  <c:v>-26.190476190476193</c:v>
                </c:pt>
                <c:pt idx="3">
                  <c:v>-36.666666666666671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1C9-4646-9569-582342458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PC I Girder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Tabel!$H$2:$H$18</c:f>
              <c:numCache>
                <c:formatCode>0.000</c:formatCode>
                <c:ptCount val="17"/>
                <c:pt idx="0">
                  <c:v>-16.666666666666668</c:v>
                </c:pt>
                <c:pt idx="1">
                  <c:v>-16.666666666666668</c:v>
                </c:pt>
                <c:pt idx="2">
                  <c:v>-4.7619047619047619</c:v>
                </c:pt>
                <c:pt idx="3">
                  <c:v>-4.7619047619047619</c:v>
                </c:pt>
                <c:pt idx="4">
                  <c:v>-19.047619047619047</c:v>
                </c:pt>
                <c:pt idx="5">
                  <c:v>-19.047619047619047</c:v>
                </c:pt>
                <c:pt idx="6">
                  <c:v>-15.238095238095239</c:v>
                </c:pt>
                <c:pt idx="7">
                  <c:v>-15.238095238095239</c:v>
                </c:pt>
                <c:pt idx="8">
                  <c:v>15.238095238095239</c:v>
                </c:pt>
                <c:pt idx="9">
                  <c:v>15.238095238095239</c:v>
                </c:pt>
                <c:pt idx="10">
                  <c:v>19.047619047619047</c:v>
                </c:pt>
                <c:pt idx="11">
                  <c:v>19.047619047619047</c:v>
                </c:pt>
                <c:pt idx="12">
                  <c:v>4.7619047619047619</c:v>
                </c:pt>
                <c:pt idx="13">
                  <c:v>4.7619047619047619</c:v>
                </c:pt>
                <c:pt idx="14">
                  <c:v>16.666666666666668</c:v>
                </c:pt>
                <c:pt idx="15">
                  <c:v>16.666666666666668</c:v>
                </c:pt>
                <c:pt idx="16">
                  <c:v>-16.666666666666668</c:v>
                </c:pt>
              </c:numCache>
            </c:numRef>
          </c:xVal>
          <c:yVal>
            <c:numRef>
              <c:f>Tabel!$I$2:$I$18</c:f>
              <c:numCache>
                <c:formatCode>0.000</c:formatCode>
                <c:ptCount val="17"/>
                <c:pt idx="0">
                  <c:v>-50</c:v>
                </c:pt>
                <c:pt idx="1">
                  <c:v>-38.095238095238095</c:v>
                </c:pt>
                <c:pt idx="2">
                  <c:v>-26.190476190476193</c:v>
                </c:pt>
                <c:pt idx="3">
                  <c:v>34.761904761904766</c:v>
                </c:pt>
                <c:pt idx="4">
                  <c:v>40.476190476190482</c:v>
                </c:pt>
                <c:pt idx="5">
                  <c:v>46.666666666666671</c:v>
                </c:pt>
                <c:pt idx="6">
                  <c:v>46.666666666666671</c:v>
                </c:pt>
                <c:pt idx="7">
                  <c:v>50</c:v>
                </c:pt>
                <c:pt idx="8">
                  <c:v>50</c:v>
                </c:pt>
                <c:pt idx="9">
                  <c:v>46.666666666666671</c:v>
                </c:pt>
                <c:pt idx="10">
                  <c:v>46.666666666666671</c:v>
                </c:pt>
                <c:pt idx="11">
                  <c:v>40.476190476190482</c:v>
                </c:pt>
                <c:pt idx="12">
                  <c:v>34.761904761904766</c:v>
                </c:pt>
                <c:pt idx="13">
                  <c:v>-26.190476190476193</c:v>
                </c:pt>
                <c:pt idx="14">
                  <c:v>-38.095238095238095</c:v>
                </c:pt>
                <c:pt idx="15">
                  <c:v>-50</c:v>
                </c:pt>
                <c:pt idx="16">
                  <c:v>-50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4-44D8-8D37-C737C667FFCE}"/>
            </c:ext>
          </c:extLst>
        </c:ser>
        <c:ser>
          <c:idx val="1"/>
          <c:order val="1"/>
          <c:tx>
            <c:v>Tendon 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Tabel!$I$41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Tabel!$J$41</c:f>
              <c:numCache>
                <c:formatCode>0.00</c:formatCode>
                <c:ptCount val="1"/>
                <c:pt idx="0">
                  <c:v>-30.476190476190478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4-44D8-8D37-C737C667FFCE}"/>
            </c:ext>
          </c:extLst>
        </c:ser>
        <c:ser>
          <c:idx val="2"/>
          <c:order val="2"/>
          <c:tx>
            <c:v>Tendon B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Tabel!$I$42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Tabel!$J$42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4-44D8-8D37-C737C667FFCE}"/>
            </c:ext>
          </c:extLst>
        </c:ser>
        <c:ser>
          <c:idx val="3"/>
          <c:order val="3"/>
          <c:tx>
            <c:v>Tendon 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Tabel!$I$43</c:f>
              <c:numCache>
                <c:formatCode>0.00</c:formatCode>
                <c:ptCount val="1"/>
                <c:pt idx="0">
                  <c:v>9.5238095238095237</c:v>
                </c:pt>
              </c:numCache>
            </c:numRef>
          </c:xVal>
          <c:yVal>
            <c:numRef>
              <c:f>Tabel!$J$43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34-44D8-8D37-C737C667FFCE}"/>
            </c:ext>
          </c:extLst>
        </c:ser>
        <c:ser>
          <c:idx val="4"/>
          <c:order val="4"/>
          <c:tx>
            <c:v>Tendon 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Tabel!$I$44</c:f>
              <c:numCache>
                <c:formatCode>0.00</c:formatCode>
                <c:ptCount val="1"/>
                <c:pt idx="0">
                  <c:v>-9.5238095238095237</c:v>
                </c:pt>
              </c:numCache>
            </c:numRef>
          </c:xVal>
          <c:yVal>
            <c:numRef>
              <c:f>Tabel!$J$44</c:f>
              <c:numCache>
                <c:formatCode>0.00</c:formatCode>
                <c:ptCount val="1"/>
                <c:pt idx="0">
                  <c:v>-42.38095238095238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34-44D8-8D37-C737C667F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55"/>
          <c:min val="-5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22-4C92-A7BD-4161632676B0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122-4C92-A7BD-4161632676B0}"/>
            </c:ext>
          </c:extLst>
        </c:ser>
        <c:ser>
          <c:idx val="1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122-4C92-A7BD-4161632676B0}"/>
            </c:ext>
          </c:extLst>
        </c:ser>
        <c:ser>
          <c:idx val="2"/>
          <c:order val="3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122-4C92-A7BD-4161632676B0}"/>
            </c:ext>
          </c:extLst>
        </c:ser>
        <c:ser>
          <c:idx val="3"/>
          <c:order val="4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122-4C92-A7BD-4161632676B0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Tabel!#REF!</c:f>
            </c:numRef>
          </c:xVal>
          <c:yVal>
            <c:numRef>
              <c:f>Tabel!#REF!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122-4C92-A7BD-416163267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978752"/>
        <c:axId val="945979736"/>
      </c:scatterChart>
      <c:valAx>
        <c:axId val="945978752"/>
        <c:scaling>
          <c:orientation val="minMax"/>
          <c:max val="265"/>
          <c:min val="-55"/>
        </c:scaling>
        <c:delete val="1"/>
        <c:axPos val="b"/>
        <c:numFmt formatCode="0.00" sourceLinked="1"/>
        <c:majorTickMark val="none"/>
        <c:minorTickMark val="none"/>
        <c:tickLblPos val="nextTo"/>
        <c:crossAx val="945979736"/>
        <c:crosses val="autoZero"/>
        <c:crossBetween val="midCat"/>
        <c:majorUnit val="10"/>
        <c:minorUnit val="2"/>
      </c:valAx>
      <c:valAx>
        <c:axId val="945979736"/>
        <c:scaling>
          <c:orientation val="minMax"/>
          <c:max val="55"/>
          <c:min val="-55"/>
        </c:scaling>
        <c:delete val="1"/>
        <c:axPos val="l"/>
        <c:numFmt formatCode="General" sourceLinked="1"/>
        <c:majorTickMark val="none"/>
        <c:minorTickMark val="none"/>
        <c:tickLblPos val="nextTo"/>
        <c:crossAx val="94597875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image" Target="../media/image7.png"/><Relationship Id="rId7" Type="http://schemas.openxmlformats.org/officeDocument/2006/relationships/chart" Target="../charts/chart40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chart" Target="../charts/chart47.xml"/><Relationship Id="rId18" Type="http://schemas.openxmlformats.org/officeDocument/2006/relationships/chart" Target="../charts/chart52.xml"/><Relationship Id="rId26" Type="http://schemas.openxmlformats.org/officeDocument/2006/relationships/image" Target="../media/image11.png"/><Relationship Id="rId39" Type="http://schemas.openxmlformats.org/officeDocument/2006/relationships/chart" Target="../charts/chart69.xml"/><Relationship Id="rId3" Type="http://schemas.openxmlformats.org/officeDocument/2006/relationships/image" Target="../media/image10.png"/><Relationship Id="rId21" Type="http://schemas.openxmlformats.org/officeDocument/2006/relationships/chart" Target="../charts/chart54.xml"/><Relationship Id="rId34" Type="http://schemas.openxmlformats.org/officeDocument/2006/relationships/chart" Target="../charts/chart64.xml"/><Relationship Id="rId7" Type="http://schemas.openxmlformats.org/officeDocument/2006/relationships/image" Target="../media/image14.png"/><Relationship Id="rId12" Type="http://schemas.openxmlformats.org/officeDocument/2006/relationships/chart" Target="../charts/chart46.xml"/><Relationship Id="rId17" Type="http://schemas.openxmlformats.org/officeDocument/2006/relationships/chart" Target="../charts/chart51.xml"/><Relationship Id="rId25" Type="http://schemas.openxmlformats.org/officeDocument/2006/relationships/image" Target="../media/image13.png"/><Relationship Id="rId33" Type="http://schemas.openxmlformats.org/officeDocument/2006/relationships/chart" Target="../charts/chart63.xml"/><Relationship Id="rId38" Type="http://schemas.openxmlformats.org/officeDocument/2006/relationships/chart" Target="../charts/chart68.xml"/><Relationship Id="rId2" Type="http://schemas.openxmlformats.org/officeDocument/2006/relationships/image" Target="../media/image9.png"/><Relationship Id="rId16" Type="http://schemas.openxmlformats.org/officeDocument/2006/relationships/chart" Target="../charts/chart50.xml"/><Relationship Id="rId20" Type="http://schemas.openxmlformats.org/officeDocument/2006/relationships/chart" Target="../charts/chart53.xml"/><Relationship Id="rId29" Type="http://schemas.openxmlformats.org/officeDocument/2006/relationships/chart" Target="../charts/chart59.xml"/><Relationship Id="rId1" Type="http://schemas.openxmlformats.org/officeDocument/2006/relationships/image" Target="../media/image5.png"/><Relationship Id="rId6" Type="http://schemas.openxmlformats.org/officeDocument/2006/relationships/image" Target="../media/image7.png"/><Relationship Id="rId11" Type="http://schemas.openxmlformats.org/officeDocument/2006/relationships/image" Target="../media/image18.png"/><Relationship Id="rId24" Type="http://schemas.openxmlformats.org/officeDocument/2006/relationships/chart" Target="../charts/chart56.xml"/><Relationship Id="rId32" Type="http://schemas.openxmlformats.org/officeDocument/2006/relationships/chart" Target="../charts/chart62.xml"/><Relationship Id="rId37" Type="http://schemas.openxmlformats.org/officeDocument/2006/relationships/chart" Target="../charts/chart67.xml"/><Relationship Id="rId40" Type="http://schemas.openxmlformats.org/officeDocument/2006/relationships/image" Target="../media/image20.png"/><Relationship Id="rId5" Type="http://schemas.openxmlformats.org/officeDocument/2006/relationships/image" Target="../media/image12.png"/><Relationship Id="rId15" Type="http://schemas.openxmlformats.org/officeDocument/2006/relationships/chart" Target="../charts/chart49.xml"/><Relationship Id="rId23" Type="http://schemas.openxmlformats.org/officeDocument/2006/relationships/image" Target="../media/image6.png"/><Relationship Id="rId28" Type="http://schemas.openxmlformats.org/officeDocument/2006/relationships/chart" Target="../charts/chart58.xml"/><Relationship Id="rId36" Type="http://schemas.openxmlformats.org/officeDocument/2006/relationships/chart" Target="../charts/chart66.xml"/><Relationship Id="rId10" Type="http://schemas.openxmlformats.org/officeDocument/2006/relationships/image" Target="../media/image17.png"/><Relationship Id="rId19" Type="http://schemas.openxmlformats.org/officeDocument/2006/relationships/image" Target="../media/image19.png"/><Relationship Id="rId31" Type="http://schemas.openxmlformats.org/officeDocument/2006/relationships/chart" Target="../charts/chart61.xml"/><Relationship Id="rId4" Type="http://schemas.openxmlformats.org/officeDocument/2006/relationships/chart" Target="../charts/chart45.xml"/><Relationship Id="rId9" Type="http://schemas.openxmlformats.org/officeDocument/2006/relationships/image" Target="../media/image16.png"/><Relationship Id="rId14" Type="http://schemas.openxmlformats.org/officeDocument/2006/relationships/chart" Target="../charts/chart48.xml"/><Relationship Id="rId22" Type="http://schemas.openxmlformats.org/officeDocument/2006/relationships/chart" Target="../charts/chart55.xml"/><Relationship Id="rId27" Type="http://schemas.openxmlformats.org/officeDocument/2006/relationships/chart" Target="../charts/chart57.xml"/><Relationship Id="rId30" Type="http://schemas.openxmlformats.org/officeDocument/2006/relationships/chart" Target="../charts/chart60.xml"/><Relationship Id="rId35" Type="http://schemas.openxmlformats.org/officeDocument/2006/relationships/chart" Target="../charts/chart6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image" Target="../media/image4.png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chart" Target="../charts/chart1.xml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18" Type="http://schemas.openxmlformats.org/officeDocument/2006/relationships/chart" Target="../charts/chart20.xml"/><Relationship Id="rId3" Type="http://schemas.openxmlformats.org/officeDocument/2006/relationships/chart" Target="../charts/chart6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17" Type="http://schemas.openxmlformats.org/officeDocument/2006/relationships/chart" Target="../charts/chart19.xml"/><Relationship Id="rId2" Type="http://schemas.openxmlformats.org/officeDocument/2006/relationships/chart" Target="../charts/chart5.xml"/><Relationship Id="rId16" Type="http://schemas.openxmlformats.org/officeDocument/2006/relationships/chart" Target="../charts/chart18.xml"/><Relationship Id="rId1" Type="http://schemas.openxmlformats.org/officeDocument/2006/relationships/image" Target="../media/image7.png"/><Relationship Id="rId6" Type="http://schemas.openxmlformats.org/officeDocument/2006/relationships/image" Target="../media/image8.png"/><Relationship Id="rId11" Type="http://schemas.openxmlformats.org/officeDocument/2006/relationships/chart" Target="../charts/chart13.xml"/><Relationship Id="rId5" Type="http://schemas.openxmlformats.org/officeDocument/2006/relationships/chart" Target="../charts/chart8.xml"/><Relationship Id="rId15" Type="http://schemas.openxmlformats.org/officeDocument/2006/relationships/chart" Target="../charts/chart17.xml"/><Relationship Id="rId10" Type="http://schemas.openxmlformats.org/officeDocument/2006/relationships/chart" Target="../charts/chart12.xml"/><Relationship Id="rId4" Type="http://schemas.openxmlformats.org/officeDocument/2006/relationships/chart" Target="../charts/chart7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7.png"/><Relationship Id="rId7" Type="http://schemas.openxmlformats.org/officeDocument/2006/relationships/image" Target="../media/image16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10" Type="http://schemas.openxmlformats.org/officeDocument/2006/relationships/chart" Target="../charts/chart25.xml"/><Relationship Id="rId4" Type="http://schemas.openxmlformats.org/officeDocument/2006/relationships/image" Target="../media/image13.png"/><Relationship Id="rId9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19</xdr:row>
      <xdr:rowOff>171450</xdr:rowOff>
    </xdr:from>
    <xdr:to>
      <xdr:col>5</xdr:col>
      <xdr:colOff>552450</xdr:colOff>
      <xdr:row>21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4B6232-5310-494A-8EFF-A99C398F9895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12</xdr:row>
      <xdr:rowOff>142875</xdr:rowOff>
    </xdr:from>
    <xdr:to>
      <xdr:col>5</xdr:col>
      <xdr:colOff>485775</xdr:colOff>
      <xdr:row>19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6A8AA7-0D0E-432B-9825-F28105F7B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485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346710</xdr:colOff>
      <xdr:row>88</xdr:row>
      <xdr:rowOff>0</xdr:rowOff>
    </xdr:from>
    <xdr:to>
      <xdr:col>3</xdr:col>
      <xdr:colOff>887730</xdr:colOff>
      <xdr:row>89</xdr:row>
      <xdr:rowOff>30481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C80FE77-87CB-4470-8954-6A1801AF8717}"/>
            </a:ext>
          </a:extLst>
        </xdr:cNvPr>
        <xdr:cNvSpPr txBox="1"/>
      </xdr:nvSpPr>
      <xdr:spPr>
        <a:xfrm>
          <a:off x="3509010" y="41433750"/>
          <a:ext cx="54102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 editAs="oneCell">
    <xdr:from>
      <xdr:col>1</xdr:col>
      <xdr:colOff>476250</xdr:colOff>
      <xdr:row>21</xdr:row>
      <xdr:rowOff>123825</xdr:rowOff>
    </xdr:from>
    <xdr:to>
      <xdr:col>6</xdr:col>
      <xdr:colOff>695325</xdr:colOff>
      <xdr:row>32</xdr:row>
      <xdr:rowOff>75945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FCFD9E-C505-4B15-8B38-BF71A15F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5124450"/>
          <a:ext cx="4743450" cy="257149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31</xdr:row>
      <xdr:rowOff>38100</xdr:rowOff>
    </xdr:from>
    <xdr:to>
      <xdr:col>7</xdr:col>
      <xdr:colOff>361950</xdr:colOff>
      <xdr:row>41</xdr:row>
      <xdr:rowOff>3101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46E5FC-ACD8-4564-8D9C-B4075E7F1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5350" y="7419975"/>
          <a:ext cx="1524000" cy="234625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111</xdr:row>
      <xdr:rowOff>66675</xdr:rowOff>
    </xdr:from>
    <xdr:to>
      <xdr:col>9</xdr:col>
      <xdr:colOff>571500</xdr:colOff>
      <xdr:row>124</xdr:row>
      <xdr:rowOff>114730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46C55C-FA0B-4BB8-AA81-99DA0E336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1</xdr:row>
      <xdr:rowOff>66675</xdr:rowOff>
    </xdr:from>
    <xdr:to>
      <xdr:col>8</xdr:col>
      <xdr:colOff>441247</xdr:colOff>
      <xdr:row>10</xdr:row>
      <xdr:rowOff>83550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C35E3E6-2A02-45F9-96A9-821AE9CBDC7F}"/>
            </a:ext>
          </a:extLst>
        </xdr:cNvPr>
        <xdr:cNvGrpSpPr>
          <a:grpSpLocks noChangeAspect="1"/>
        </xdr:cNvGrpSpPr>
      </xdr:nvGrpSpPr>
      <xdr:grpSpPr>
        <a:xfrm>
          <a:off x="771526" y="304800"/>
          <a:ext cx="4432221" cy="2160000"/>
          <a:chOff x="8181975" y="17078325"/>
          <a:chExt cx="2954475" cy="1440000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61A66580-F303-1926-F1D6-24BDC2BFA99B}"/>
              </a:ext>
            </a:extLst>
          </xdr:cNvPr>
          <xdr:cNvGraphicFramePr>
            <a:graphicFrameLocks/>
          </xdr:cNvGraphicFramePr>
        </xdr:nvGraphicFramePr>
        <xdr:xfrm>
          <a:off x="9696450" y="17078325"/>
          <a:ext cx="1440000" cy="14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B663CD36-8E61-53CF-69B0-05D7064D7FFF}"/>
              </a:ext>
            </a:extLst>
          </xdr:cNvPr>
          <xdr:cNvGraphicFramePr>
            <a:graphicFrameLocks/>
          </xdr:cNvGraphicFramePr>
        </xdr:nvGraphicFramePr>
        <xdr:xfrm>
          <a:off x="8181975" y="17078325"/>
          <a:ext cx="1440000" cy="14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2</xdr:col>
      <xdr:colOff>333375</xdr:colOff>
      <xdr:row>11</xdr:row>
      <xdr:rowOff>28576</xdr:rowOff>
    </xdr:from>
    <xdr:to>
      <xdr:col>4</xdr:col>
      <xdr:colOff>447617</xdr:colOff>
      <xdr:row>20</xdr:row>
      <xdr:rowOff>114301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D86956F-1D10-4D5E-BF4A-8EA396943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" y="105279826"/>
          <a:ext cx="1447742" cy="22288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10</xdr:col>
      <xdr:colOff>66000</xdr:colOff>
      <xdr:row>73</xdr:row>
      <xdr:rowOff>218624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631511B-3B95-4CC6-B15C-FD0EE2950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84</xdr:row>
      <xdr:rowOff>0</xdr:rowOff>
    </xdr:from>
    <xdr:to>
      <xdr:col>6</xdr:col>
      <xdr:colOff>9525</xdr:colOff>
      <xdr:row>85</xdr:row>
      <xdr:rowOff>9525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38DB69-4BEB-425F-8584-2FAAD810223D}"/>
            </a:ext>
          </a:extLst>
        </xdr:cNvPr>
        <xdr:cNvSpPr txBox="1"/>
      </xdr:nvSpPr>
      <xdr:spPr>
        <a:xfrm>
          <a:off x="2390775" y="224075625"/>
          <a:ext cx="695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&lt;</a:t>
          </a:r>
        </a:p>
      </xdr:txBody>
    </xdr:sp>
    <xdr:clientData/>
  </xdr:twoCellAnchor>
  <xdr:twoCellAnchor>
    <xdr:from>
      <xdr:col>1</xdr:col>
      <xdr:colOff>247649</xdr:colOff>
      <xdr:row>91</xdr:row>
      <xdr:rowOff>0</xdr:rowOff>
    </xdr:from>
    <xdr:to>
      <xdr:col>9</xdr:col>
      <xdr:colOff>371474</xdr:colOff>
      <xdr:row>106</xdr:row>
      <xdr:rowOff>28125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7A65816-1888-4716-92FC-FECB12EB7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110</xdr:row>
      <xdr:rowOff>0</xdr:rowOff>
    </xdr:from>
    <xdr:to>
      <xdr:col>9</xdr:col>
      <xdr:colOff>570433</xdr:colOff>
      <xdr:row>118</xdr:row>
      <xdr:rowOff>141986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98EB193-AEA1-4DA2-B0BF-1A773F976AB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120</xdr:row>
      <xdr:rowOff>0</xdr:rowOff>
    </xdr:from>
    <xdr:to>
      <xdr:col>9</xdr:col>
      <xdr:colOff>570433</xdr:colOff>
      <xdr:row>128</xdr:row>
      <xdr:rowOff>138033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4136F56-5AD3-412C-8023-70DF476DAAE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131</xdr:row>
      <xdr:rowOff>0</xdr:rowOff>
    </xdr:from>
    <xdr:to>
      <xdr:col>9</xdr:col>
      <xdr:colOff>570433</xdr:colOff>
      <xdr:row>139</xdr:row>
      <xdr:rowOff>138033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C914366-B440-46D3-B7A1-3996B8FBA2F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141</xdr:row>
      <xdr:rowOff>0</xdr:rowOff>
    </xdr:from>
    <xdr:to>
      <xdr:col>9</xdr:col>
      <xdr:colOff>570433</xdr:colOff>
      <xdr:row>149</xdr:row>
      <xdr:rowOff>138033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370E12D-72B6-4BB7-9E70-509B1B04B34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152</xdr:row>
      <xdr:rowOff>0</xdr:rowOff>
    </xdr:from>
    <xdr:to>
      <xdr:col>9</xdr:col>
      <xdr:colOff>570433</xdr:colOff>
      <xdr:row>160</xdr:row>
      <xdr:rowOff>138032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C649AE2-FE52-4AF3-8455-11E49D5698C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163</xdr:row>
      <xdr:rowOff>0</xdr:rowOff>
    </xdr:from>
    <xdr:to>
      <xdr:col>9</xdr:col>
      <xdr:colOff>570433</xdr:colOff>
      <xdr:row>171</xdr:row>
      <xdr:rowOff>138033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EED8E16-DEC6-47E9-AA3C-F765E90066F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232410</xdr:colOff>
      <xdr:row>236</xdr:row>
      <xdr:rowOff>0</xdr:rowOff>
    </xdr:from>
    <xdr:to>
      <xdr:col>4</xdr:col>
      <xdr:colOff>573405</xdr:colOff>
      <xdr:row>237</xdr:row>
      <xdr:rowOff>30481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BD3FBBE-A451-4072-86C3-82BF69BB9233}"/>
            </a:ext>
          </a:extLst>
        </xdr:cNvPr>
        <xdr:cNvSpPr txBox="1"/>
      </xdr:nvSpPr>
      <xdr:spPr>
        <a:xfrm>
          <a:off x="1937385" y="326231250"/>
          <a:ext cx="34099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9</xdr:row>
      <xdr:rowOff>57150</xdr:rowOff>
    </xdr:from>
    <xdr:to>
      <xdr:col>8</xdr:col>
      <xdr:colOff>495300</xdr:colOff>
      <xdr:row>16</xdr:row>
      <xdr:rowOff>233384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3A56359-0480-4136-AC6E-E54374FE2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438400"/>
          <a:ext cx="5505450" cy="1843109"/>
        </a:xfrm>
        <a:prstGeom prst="rect">
          <a:avLst/>
        </a:prstGeom>
      </xdr:spPr>
    </xdr:pic>
    <xdr:clientData/>
  </xdr:twoCellAnchor>
  <xdr:twoCellAnchor editAs="oneCell">
    <xdr:from>
      <xdr:col>1</xdr:col>
      <xdr:colOff>382905</xdr:colOff>
      <xdr:row>515</xdr:row>
      <xdr:rowOff>146685</xdr:rowOff>
    </xdr:from>
    <xdr:to>
      <xdr:col>7</xdr:col>
      <xdr:colOff>645795</xdr:colOff>
      <xdr:row>526</xdr:row>
      <xdr:rowOff>206588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5522BCC-9780-4E9D-BA04-1AC7E2A3A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580" y="15243810"/>
          <a:ext cx="4377690" cy="267927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533</xdr:row>
      <xdr:rowOff>200026</xdr:rowOff>
    </xdr:from>
    <xdr:to>
      <xdr:col>7</xdr:col>
      <xdr:colOff>205200</xdr:colOff>
      <xdr:row>541</xdr:row>
      <xdr:rowOff>120871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877E561-80AE-4E64-BFB6-84B52454A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925" y="19411951"/>
          <a:ext cx="4224750" cy="18258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739</xdr:row>
      <xdr:rowOff>1</xdr:rowOff>
    </xdr:from>
    <xdr:to>
      <xdr:col>8</xdr:col>
      <xdr:colOff>599400</xdr:colOff>
      <xdr:row>749</xdr:row>
      <xdr:rowOff>9694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8C00B962-37AE-4373-99E0-3AF42A6D901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857249</xdr:colOff>
      <xdr:row>959</xdr:row>
      <xdr:rowOff>0</xdr:rowOff>
    </xdr:from>
    <xdr:to>
      <xdr:col>7</xdr:col>
      <xdr:colOff>466724</xdr:colOff>
      <xdr:row>960</xdr:row>
      <xdr:rowOff>9525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5BCC36C1-D286-43F7-97FA-ADBB92C710B6}"/>
            </a:ext>
          </a:extLst>
        </xdr:cNvPr>
        <xdr:cNvSpPr txBox="1"/>
      </xdr:nvSpPr>
      <xdr:spPr>
        <a:xfrm>
          <a:off x="5591174" y="43338750"/>
          <a:ext cx="4667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  D</a:t>
          </a:r>
        </a:p>
      </xdr:txBody>
    </xdr:sp>
    <xdr:clientData/>
  </xdr:twoCellAnchor>
  <xdr:twoCellAnchor editAs="oneCell">
    <xdr:from>
      <xdr:col>1</xdr:col>
      <xdr:colOff>533399</xdr:colOff>
      <xdr:row>893</xdr:row>
      <xdr:rowOff>190500</xdr:rowOff>
    </xdr:from>
    <xdr:to>
      <xdr:col>7</xdr:col>
      <xdr:colOff>518802</xdr:colOff>
      <xdr:row>911</xdr:row>
      <xdr:rowOff>152400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769E5AB-26B6-4407-B56B-9B37E0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774" y="132588000"/>
          <a:ext cx="4100203" cy="424815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776</xdr:row>
      <xdr:rowOff>28576</xdr:rowOff>
    </xdr:from>
    <xdr:to>
      <xdr:col>3</xdr:col>
      <xdr:colOff>409517</xdr:colOff>
      <xdr:row>785</xdr:row>
      <xdr:rowOff>114301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91E73A7D-1D80-423F-8A60-9237FBDDC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750" y="105279826"/>
          <a:ext cx="1447742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811</xdr:row>
      <xdr:rowOff>0</xdr:rowOff>
    </xdr:from>
    <xdr:to>
      <xdr:col>4</xdr:col>
      <xdr:colOff>235950</xdr:colOff>
      <xdr:row>823</xdr:row>
      <xdr:rowOff>153266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42DAF96C-B1DC-4DED-8CB9-212715DF5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1025" y="9286875"/>
          <a:ext cx="2160000" cy="301076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848</xdr:row>
      <xdr:rowOff>47626</xdr:rowOff>
    </xdr:from>
    <xdr:to>
      <xdr:col>4</xdr:col>
      <xdr:colOff>286800</xdr:colOff>
      <xdr:row>860</xdr:row>
      <xdr:rowOff>158178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6E239D5A-C3BF-446B-BAE1-6A7D6B2EF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3875" y="17430751"/>
          <a:ext cx="2268000" cy="296805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965</xdr:row>
      <xdr:rowOff>28575</xdr:rowOff>
    </xdr:from>
    <xdr:to>
      <xdr:col>3</xdr:col>
      <xdr:colOff>625330</xdr:colOff>
      <xdr:row>977</xdr:row>
      <xdr:rowOff>57151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3FFAA900-B513-4310-9852-651590455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3875" y="149571075"/>
          <a:ext cx="1806430" cy="288607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996</xdr:row>
      <xdr:rowOff>47625</xdr:rowOff>
    </xdr:from>
    <xdr:to>
      <xdr:col>8</xdr:col>
      <xdr:colOff>285751</xdr:colOff>
      <xdr:row>1009</xdr:row>
      <xdr:rowOff>206391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7E4BE8A-6CED-4CDF-9630-CB5B19798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0076" y="151495125"/>
          <a:ext cx="4819650" cy="3254390"/>
        </a:xfrm>
        <a:prstGeom prst="rect">
          <a:avLst/>
        </a:prstGeom>
      </xdr:spPr>
    </xdr:pic>
    <xdr:clientData/>
  </xdr:twoCellAnchor>
  <xdr:twoCellAnchor editAs="oneCell">
    <xdr:from>
      <xdr:col>1</xdr:col>
      <xdr:colOff>283291</xdr:colOff>
      <xdr:row>1111</xdr:row>
      <xdr:rowOff>123825</xdr:rowOff>
    </xdr:from>
    <xdr:to>
      <xdr:col>8</xdr:col>
      <xdr:colOff>418424</xdr:colOff>
      <xdr:row>1118</xdr:row>
      <xdr:rowOff>9526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2C331C72-2239-4DEB-8DA3-A37B6BDA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6666" y="173240700"/>
          <a:ext cx="4935733" cy="155257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1318</xdr:row>
      <xdr:rowOff>0</xdr:rowOff>
    </xdr:from>
    <xdr:to>
      <xdr:col>5</xdr:col>
      <xdr:colOff>9525</xdr:colOff>
      <xdr:row>1319</xdr:row>
      <xdr:rowOff>9525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975CA195-B89E-4B20-BE77-FF52F277153A}"/>
            </a:ext>
          </a:extLst>
        </xdr:cNvPr>
        <xdr:cNvSpPr txBox="1"/>
      </xdr:nvSpPr>
      <xdr:spPr>
        <a:xfrm>
          <a:off x="3162300" y="27146250"/>
          <a:ext cx="9144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&lt;</a:t>
          </a:r>
        </a:p>
      </xdr:txBody>
    </xdr:sp>
    <xdr:clientData/>
  </xdr:twoCellAnchor>
  <xdr:twoCellAnchor>
    <xdr:from>
      <xdr:col>1</xdr:col>
      <xdr:colOff>85725</xdr:colOff>
      <xdr:row>1335</xdr:row>
      <xdr:rowOff>66675</xdr:rowOff>
    </xdr:from>
    <xdr:to>
      <xdr:col>7</xdr:col>
      <xdr:colOff>650925</xdr:colOff>
      <xdr:row>1350</xdr:row>
      <xdr:rowOff>94800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4FA0B075-BEA8-4BF3-BF55-54EA848D3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1365</xdr:row>
      <xdr:rowOff>233891</xdr:rowOff>
    </xdr:from>
    <xdr:to>
      <xdr:col>8</xdr:col>
      <xdr:colOff>437083</xdr:colOff>
      <xdr:row>1374</xdr:row>
      <xdr:rowOff>137752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469C6798-2042-4365-AC91-62F7C7D8FEE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1388</xdr:row>
      <xdr:rowOff>0</xdr:rowOff>
    </xdr:from>
    <xdr:to>
      <xdr:col>8</xdr:col>
      <xdr:colOff>437083</xdr:colOff>
      <xdr:row>1396</xdr:row>
      <xdr:rowOff>138033</xdr:rowOff>
    </xdr:to>
    <xdr:graphicFrame macro="">
      <xdr:nvGraphicFramePr>
        <xdr:cNvPr id="92" name="Chart 91">
          <a:extLst>
            <a:ext uri="{FF2B5EF4-FFF2-40B4-BE49-F238E27FC236}">
              <a16:creationId xmlns:a16="http://schemas.microsoft.com/office/drawing/2014/main" id="{936698CB-9AAB-4CE9-B0F6-5184157A8F2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1409</xdr:row>
      <xdr:rowOff>0</xdr:rowOff>
    </xdr:from>
    <xdr:to>
      <xdr:col>8</xdr:col>
      <xdr:colOff>437083</xdr:colOff>
      <xdr:row>1417</xdr:row>
      <xdr:rowOff>138033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5778309C-CD5F-4CF3-96A9-E9471EA4F9E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1430</xdr:row>
      <xdr:rowOff>0</xdr:rowOff>
    </xdr:from>
    <xdr:to>
      <xdr:col>8</xdr:col>
      <xdr:colOff>437083</xdr:colOff>
      <xdr:row>1438</xdr:row>
      <xdr:rowOff>138033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8EAADBAB-1C04-4CEA-A67E-65FCF57E579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1450</xdr:row>
      <xdr:rowOff>0</xdr:rowOff>
    </xdr:from>
    <xdr:to>
      <xdr:col>8</xdr:col>
      <xdr:colOff>437083</xdr:colOff>
      <xdr:row>1458</xdr:row>
      <xdr:rowOff>138032</xdr:rowOff>
    </xdr:to>
    <xdr:graphicFrame macro="">
      <xdr:nvGraphicFramePr>
        <xdr:cNvPr id="95" name="Chart 94">
          <a:extLst>
            <a:ext uri="{FF2B5EF4-FFF2-40B4-BE49-F238E27FC236}">
              <a16:creationId xmlns:a16="http://schemas.microsoft.com/office/drawing/2014/main" id="{FB8198F0-E8A7-4FC0-9B2D-E7A807659EF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1477</xdr:row>
      <xdr:rowOff>0</xdr:rowOff>
    </xdr:from>
    <xdr:to>
      <xdr:col>8</xdr:col>
      <xdr:colOff>437083</xdr:colOff>
      <xdr:row>1485</xdr:row>
      <xdr:rowOff>138033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7377C012-22C4-4F69-B6FB-8EF8273FA7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232410</xdr:colOff>
      <xdr:row>1782</xdr:row>
      <xdr:rowOff>0</xdr:rowOff>
    </xdr:from>
    <xdr:to>
      <xdr:col>3</xdr:col>
      <xdr:colOff>573405</xdr:colOff>
      <xdr:row>1783</xdr:row>
      <xdr:rowOff>30481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C97E239B-16C3-496E-822A-3B2C3038425E}"/>
            </a:ext>
          </a:extLst>
        </xdr:cNvPr>
        <xdr:cNvSpPr txBox="1"/>
      </xdr:nvSpPr>
      <xdr:spPr>
        <a:xfrm>
          <a:off x="1937385" y="326231250"/>
          <a:ext cx="34099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 editAs="oneCell">
    <xdr:from>
      <xdr:col>1</xdr:col>
      <xdr:colOff>123825</xdr:colOff>
      <xdr:row>1710</xdr:row>
      <xdr:rowOff>123825</xdr:rowOff>
    </xdr:from>
    <xdr:to>
      <xdr:col>8</xdr:col>
      <xdr:colOff>66675</xdr:colOff>
      <xdr:row>1721</xdr:row>
      <xdr:rowOff>75945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4344169C-CAF4-428D-A382-27E03F7AA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57200" y="309924450"/>
          <a:ext cx="4743450" cy="257149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1720</xdr:row>
      <xdr:rowOff>38100</xdr:rowOff>
    </xdr:from>
    <xdr:to>
      <xdr:col>8</xdr:col>
      <xdr:colOff>114300</xdr:colOff>
      <xdr:row>1730</xdr:row>
      <xdr:rowOff>3100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7308AA76-6B05-4E94-AD99-B5CFDCE0B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05350" y="7419975"/>
          <a:ext cx="1524000" cy="234625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1934</xdr:row>
      <xdr:rowOff>0</xdr:rowOff>
    </xdr:from>
    <xdr:to>
      <xdr:col>8</xdr:col>
      <xdr:colOff>599400</xdr:colOff>
      <xdr:row>1947</xdr:row>
      <xdr:rowOff>48055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DEE1A8C0-44B5-4077-A7D3-BD3A54AD5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88</xdr:row>
      <xdr:rowOff>115957</xdr:rowOff>
    </xdr:from>
    <xdr:to>
      <xdr:col>6</xdr:col>
      <xdr:colOff>526008</xdr:colOff>
      <xdr:row>96</xdr:row>
      <xdr:rowOff>138392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BFF24F8-A8BF-4BD4-A1DA-6DC05399E937}"/>
            </a:ext>
          </a:extLst>
        </xdr:cNvPr>
        <xdr:cNvGrpSpPr>
          <a:grpSpLocks noChangeAspect="1"/>
        </xdr:cNvGrpSpPr>
      </xdr:nvGrpSpPr>
      <xdr:grpSpPr>
        <a:xfrm>
          <a:off x="361950" y="21309082"/>
          <a:ext cx="4193133" cy="1927435"/>
          <a:chOff x="8181975" y="17078325"/>
          <a:chExt cx="2954475" cy="14400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74E11AA3-505A-99A4-9530-BED8A436EB49}"/>
              </a:ext>
            </a:extLst>
          </xdr:cNvPr>
          <xdr:cNvGraphicFramePr>
            <a:graphicFrameLocks/>
          </xdr:cNvGraphicFramePr>
        </xdr:nvGraphicFramePr>
        <xdr:xfrm>
          <a:off x="9696450" y="17078325"/>
          <a:ext cx="1440000" cy="14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54684B37-2D62-C72B-9BD0-F5D235463FB5}"/>
              </a:ext>
            </a:extLst>
          </xdr:cNvPr>
          <xdr:cNvGraphicFramePr>
            <a:graphicFrameLocks/>
          </xdr:cNvGraphicFramePr>
        </xdr:nvGraphicFramePr>
        <xdr:xfrm>
          <a:off x="8181975" y="17078325"/>
          <a:ext cx="1440000" cy="14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</xdr:grpSp>
    <xdr:clientData/>
  </xdr:twoCellAnchor>
  <xdr:twoCellAnchor editAs="oneCell">
    <xdr:from>
      <xdr:col>0</xdr:col>
      <xdr:colOff>331301</xdr:colOff>
      <xdr:row>74</xdr:row>
      <xdr:rowOff>24847</xdr:rowOff>
    </xdr:from>
    <xdr:to>
      <xdr:col>6</xdr:col>
      <xdr:colOff>71789</xdr:colOff>
      <xdr:row>82</xdr:row>
      <xdr:rowOff>191282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9982C5-5C5C-44F7-9C93-21EBE40D9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31301" y="16598347"/>
          <a:ext cx="3509075" cy="2088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752</xdr:row>
      <xdr:rowOff>0</xdr:rowOff>
    </xdr:from>
    <xdr:to>
      <xdr:col>8</xdr:col>
      <xdr:colOff>599400</xdr:colOff>
      <xdr:row>762</xdr:row>
      <xdr:rowOff>9693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D07C72-0C7F-4876-8531-5EF29BAF685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</xdr:col>
      <xdr:colOff>409575</xdr:colOff>
      <xdr:row>788</xdr:row>
      <xdr:rowOff>47625</xdr:rowOff>
    </xdr:from>
    <xdr:to>
      <xdr:col>8</xdr:col>
      <xdr:colOff>9525</xdr:colOff>
      <xdr:row>798</xdr:row>
      <xdr:rowOff>37041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1857093-3F1B-41AE-9F54-8293E90C8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2950" y="109347000"/>
          <a:ext cx="4400550" cy="23706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885</xdr:row>
      <xdr:rowOff>1</xdr:rowOff>
    </xdr:from>
    <xdr:to>
      <xdr:col>8</xdr:col>
      <xdr:colOff>239400</xdr:colOff>
      <xdr:row>892</xdr:row>
      <xdr:rowOff>236265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8BEE833-B56C-4924-BF12-98A30B725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3375" y="130492501"/>
          <a:ext cx="5040000" cy="190313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3</xdr:col>
      <xdr:colOff>394200</xdr:colOff>
      <xdr:row>1084</xdr:row>
      <xdr:rowOff>33594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B79A0BA-61AE-40F2-AF9C-B342B1FCE6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7115"/>
        <a:stretch/>
      </xdr:blipFill>
      <xdr:spPr>
        <a:xfrm>
          <a:off x="1019175" y="170497500"/>
          <a:ext cx="1080000" cy="170046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1076</xdr:row>
      <xdr:rowOff>152400</xdr:rowOff>
    </xdr:from>
    <xdr:to>
      <xdr:col>7</xdr:col>
      <xdr:colOff>428400</xdr:colOff>
      <xdr:row>1084</xdr:row>
      <xdr:rowOff>47400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FD19F4F-1371-490C-95DE-2FD618BB0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2</xdr:col>
      <xdr:colOff>0</xdr:colOff>
      <xdr:row>1092</xdr:row>
      <xdr:rowOff>0</xdr:rowOff>
    </xdr:from>
    <xdr:to>
      <xdr:col>3</xdr:col>
      <xdr:colOff>394200</xdr:colOff>
      <xdr:row>1098</xdr:row>
      <xdr:rowOff>211259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6AF52C1-178C-4A30-A735-4B4CE62B0D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55533"/>
        <a:stretch/>
      </xdr:blipFill>
      <xdr:spPr>
        <a:xfrm>
          <a:off x="1019175" y="174069375"/>
          <a:ext cx="1080000" cy="16400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1091</xdr:row>
      <xdr:rowOff>133350</xdr:rowOff>
    </xdr:from>
    <xdr:to>
      <xdr:col>7</xdr:col>
      <xdr:colOff>428400</xdr:colOff>
      <xdr:row>1099</xdr:row>
      <xdr:rowOff>28350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5E44E5A-EEAE-46C1-8E99-F8ECF51D1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1181</xdr:row>
      <xdr:rowOff>0</xdr:rowOff>
    </xdr:from>
    <xdr:to>
      <xdr:col>8</xdr:col>
      <xdr:colOff>599400</xdr:colOff>
      <xdr:row>1195</xdr:row>
      <xdr:rowOff>218624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2D78F5D-7BB0-4A23-B446-0D3981F82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9526</xdr:colOff>
      <xdr:row>146</xdr:row>
      <xdr:rowOff>66675</xdr:rowOff>
    </xdr:from>
    <xdr:to>
      <xdr:col>7</xdr:col>
      <xdr:colOff>441247</xdr:colOff>
      <xdr:row>155</xdr:row>
      <xdr:rowOff>83550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77292891-7541-4392-888A-E1E188EA4004}"/>
            </a:ext>
          </a:extLst>
        </xdr:cNvPr>
        <xdr:cNvGrpSpPr>
          <a:grpSpLocks noChangeAspect="1"/>
        </xdr:cNvGrpSpPr>
      </xdr:nvGrpSpPr>
      <xdr:grpSpPr>
        <a:xfrm>
          <a:off x="371476" y="35785425"/>
          <a:ext cx="4832271" cy="2160000"/>
          <a:chOff x="8181975" y="17078325"/>
          <a:chExt cx="2954475" cy="1440000"/>
        </a:xfrm>
      </xdr:grpSpPr>
      <xdr:graphicFrame macro="">
        <xdr:nvGraphicFramePr>
          <xdr:cNvPr id="15" name="Chart 14">
            <a:extLst>
              <a:ext uri="{FF2B5EF4-FFF2-40B4-BE49-F238E27FC236}">
                <a16:creationId xmlns:a16="http://schemas.microsoft.com/office/drawing/2014/main" id="{5B730637-4432-64A8-CFB3-4A61D0070F8A}"/>
              </a:ext>
            </a:extLst>
          </xdr:cNvPr>
          <xdr:cNvGraphicFramePr>
            <a:graphicFrameLocks/>
          </xdr:cNvGraphicFramePr>
        </xdr:nvGraphicFramePr>
        <xdr:xfrm>
          <a:off x="9696450" y="17078325"/>
          <a:ext cx="1440000" cy="14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0"/>
          </a:graphicData>
        </a:graphic>
      </xdr:graphicFrame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A5F5E92D-4CCF-4115-472C-A333C66E8B74}"/>
              </a:ext>
            </a:extLst>
          </xdr:cNvPr>
          <xdr:cNvGraphicFramePr>
            <a:graphicFrameLocks/>
          </xdr:cNvGraphicFramePr>
        </xdr:nvGraphicFramePr>
        <xdr:xfrm>
          <a:off x="8181975" y="17078325"/>
          <a:ext cx="1440000" cy="14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1"/>
          </a:graphicData>
        </a:graphic>
      </xdr:graphicFrame>
    </xdr:grpSp>
    <xdr:clientData/>
  </xdr:twoCellAnchor>
  <xdr:twoCellAnchor editAs="oneCell">
    <xdr:from>
      <xdr:col>1</xdr:col>
      <xdr:colOff>333375</xdr:colOff>
      <xdr:row>156</xdr:row>
      <xdr:rowOff>28576</xdr:rowOff>
    </xdr:from>
    <xdr:to>
      <xdr:col>3</xdr:col>
      <xdr:colOff>409517</xdr:colOff>
      <xdr:row>165</xdr:row>
      <xdr:rowOff>114301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0F3BD29-26BA-44A8-9DB7-BCE9573FB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" y="2647951"/>
          <a:ext cx="1447742" cy="2228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218</xdr:row>
      <xdr:rowOff>1</xdr:rowOff>
    </xdr:from>
    <xdr:to>
      <xdr:col>8</xdr:col>
      <xdr:colOff>209550</xdr:colOff>
      <xdr:row>231</xdr:row>
      <xdr:rowOff>200026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EDC3C8EC-DF98-49BC-919E-7CA733636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0</xdr:colOff>
      <xdr:row>241</xdr:row>
      <xdr:rowOff>0</xdr:rowOff>
    </xdr:from>
    <xdr:to>
      <xdr:col>5</xdr:col>
      <xdr:colOff>9525</xdr:colOff>
      <xdr:row>242</xdr:row>
      <xdr:rowOff>9525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42CF7F6-68F5-4E1D-8B4A-7A02693CFAA1}"/>
            </a:ext>
          </a:extLst>
        </xdr:cNvPr>
        <xdr:cNvSpPr txBox="1"/>
      </xdr:nvSpPr>
      <xdr:spPr>
        <a:xfrm>
          <a:off x="2762250" y="20002500"/>
          <a:ext cx="6762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&lt;</a:t>
          </a:r>
        </a:p>
      </xdr:txBody>
    </xdr:sp>
    <xdr:clientData/>
  </xdr:twoCellAnchor>
  <xdr:twoCellAnchor>
    <xdr:from>
      <xdr:col>0</xdr:col>
      <xdr:colOff>276224</xdr:colOff>
      <xdr:row>255</xdr:row>
      <xdr:rowOff>114300</xdr:rowOff>
    </xdr:from>
    <xdr:to>
      <xdr:col>8</xdr:col>
      <xdr:colOff>400049</xdr:colOff>
      <xdr:row>269</xdr:row>
      <xdr:rowOff>228600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FAAC846-8EF6-42A0-811A-E47842663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273</xdr:row>
      <xdr:rowOff>0</xdr:rowOff>
    </xdr:from>
    <xdr:to>
      <xdr:col>8</xdr:col>
      <xdr:colOff>570433</xdr:colOff>
      <xdr:row>281</xdr:row>
      <xdr:rowOff>141986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126491-F951-488A-B143-5750A749F46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283</xdr:row>
      <xdr:rowOff>0</xdr:rowOff>
    </xdr:from>
    <xdr:to>
      <xdr:col>8</xdr:col>
      <xdr:colOff>570433</xdr:colOff>
      <xdr:row>291</xdr:row>
      <xdr:rowOff>138033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B34829CE-7AF6-4E90-B6DA-99A09CF98EF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293</xdr:row>
      <xdr:rowOff>0</xdr:rowOff>
    </xdr:from>
    <xdr:to>
      <xdr:col>8</xdr:col>
      <xdr:colOff>570433</xdr:colOff>
      <xdr:row>301</xdr:row>
      <xdr:rowOff>138033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5B8FA17-B2A5-4BA5-AF4D-590739117AA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303</xdr:row>
      <xdr:rowOff>0</xdr:rowOff>
    </xdr:from>
    <xdr:to>
      <xdr:col>8</xdr:col>
      <xdr:colOff>570433</xdr:colOff>
      <xdr:row>311</xdr:row>
      <xdr:rowOff>138033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324E9057-B67F-468A-BFA4-3296C11E36B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314</xdr:row>
      <xdr:rowOff>0</xdr:rowOff>
    </xdr:from>
    <xdr:to>
      <xdr:col>8</xdr:col>
      <xdr:colOff>570433</xdr:colOff>
      <xdr:row>322</xdr:row>
      <xdr:rowOff>138032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921BD66-5EA2-4B97-88D5-777154766CB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330</xdr:row>
      <xdr:rowOff>0</xdr:rowOff>
    </xdr:from>
    <xdr:to>
      <xdr:col>8</xdr:col>
      <xdr:colOff>570433</xdr:colOff>
      <xdr:row>338</xdr:row>
      <xdr:rowOff>138033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B42422A-A737-49B1-B8D3-12B3DCF6A21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232410</xdr:colOff>
      <xdr:row>404</xdr:row>
      <xdr:rowOff>0</xdr:rowOff>
    </xdr:from>
    <xdr:to>
      <xdr:col>3</xdr:col>
      <xdr:colOff>573405</xdr:colOff>
      <xdr:row>405</xdr:row>
      <xdr:rowOff>30481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4A14182-A89A-4743-B507-52E081A90B26}"/>
            </a:ext>
          </a:extLst>
        </xdr:cNvPr>
        <xdr:cNvSpPr txBox="1"/>
      </xdr:nvSpPr>
      <xdr:spPr>
        <a:xfrm>
          <a:off x="2327910" y="56197500"/>
          <a:ext cx="34099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 editAs="oneCell">
    <xdr:from>
      <xdr:col>1</xdr:col>
      <xdr:colOff>38100</xdr:colOff>
      <xdr:row>1</xdr:row>
      <xdr:rowOff>85725</xdr:rowOff>
    </xdr:from>
    <xdr:to>
      <xdr:col>3</xdr:col>
      <xdr:colOff>11250</xdr:colOff>
      <xdr:row>6</xdr:row>
      <xdr:rowOff>96975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48907F9-51F8-40E1-B90A-E08ADA0FD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23850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200025</xdr:colOff>
      <xdr:row>89</xdr:row>
      <xdr:rowOff>161926</xdr:rowOff>
    </xdr:from>
    <xdr:to>
      <xdr:col>21</xdr:col>
      <xdr:colOff>263209</xdr:colOff>
      <xdr:row>102</xdr:row>
      <xdr:rowOff>13336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3FDE0F-C03B-477B-93E7-5D49EA9FB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0507326"/>
          <a:ext cx="4795204" cy="342519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112</xdr:row>
      <xdr:rowOff>66675</xdr:rowOff>
    </xdr:from>
    <xdr:to>
      <xdr:col>20</xdr:col>
      <xdr:colOff>235964</xdr:colOff>
      <xdr:row>121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F2AA9E-9A00-4382-B9F1-71503D088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0700" y="27270075"/>
          <a:ext cx="4236464" cy="2305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122</xdr:row>
      <xdr:rowOff>133350</xdr:rowOff>
    </xdr:from>
    <xdr:to>
      <xdr:col>20</xdr:col>
      <xdr:colOff>225189</xdr:colOff>
      <xdr:row>130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4D59AB-31B4-4040-A0F5-7DD5D333F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20225" y="29622750"/>
          <a:ext cx="4216164" cy="17907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238124</xdr:rowOff>
    </xdr:from>
    <xdr:to>
      <xdr:col>8</xdr:col>
      <xdr:colOff>531992</xdr:colOff>
      <xdr:row>11</xdr:row>
      <xdr:rowOff>171449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FB006F-F1EF-45A0-B2B5-6BB10CDA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5" y="476249"/>
          <a:ext cx="6913742" cy="231457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314326</xdr:colOff>
      <xdr:row>62</xdr:row>
      <xdr:rowOff>28575</xdr:rowOff>
    </xdr:from>
    <xdr:to>
      <xdr:col>8</xdr:col>
      <xdr:colOff>551506</xdr:colOff>
      <xdr:row>69</xdr:row>
      <xdr:rowOff>190500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B815EAD-37AC-4276-B0F1-A23F5447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1501" y="14554200"/>
          <a:ext cx="3094680" cy="1828800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62</xdr:row>
      <xdr:rowOff>47625</xdr:rowOff>
    </xdr:from>
    <xdr:to>
      <xdr:col>3</xdr:col>
      <xdr:colOff>123600</xdr:colOff>
      <xdr:row>69</xdr:row>
      <xdr:rowOff>180750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2E8490-D83D-4F3D-8F13-BFFCE04BE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190500</xdr:colOff>
      <xdr:row>62</xdr:row>
      <xdr:rowOff>57150</xdr:rowOff>
    </xdr:from>
    <xdr:to>
      <xdr:col>5</xdr:col>
      <xdr:colOff>180750</xdr:colOff>
      <xdr:row>69</xdr:row>
      <xdr:rowOff>190275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07495B-2892-4DEB-857E-F0555856D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57</xdr:row>
      <xdr:rowOff>0</xdr:rowOff>
    </xdr:from>
    <xdr:to>
      <xdr:col>13</xdr:col>
      <xdr:colOff>580800</xdr:colOff>
      <xdr:row>64</xdr:row>
      <xdr:rowOff>133125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7E6C428-BED7-41CB-9CA4-13C99FDBF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57</xdr:row>
      <xdr:rowOff>0</xdr:rowOff>
    </xdr:from>
    <xdr:to>
      <xdr:col>16</xdr:col>
      <xdr:colOff>504600</xdr:colOff>
      <xdr:row>64</xdr:row>
      <xdr:rowOff>133125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2CA81B4-90E3-4654-B037-0ACC3A0C4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219075</xdr:colOff>
      <xdr:row>16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97A8F-051F-4215-BE51-B31FE771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47875" cy="3152775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0</xdr:row>
      <xdr:rowOff>0</xdr:rowOff>
    </xdr:from>
    <xdr:to>
      <xdr:col>27</xdr:col>
      <xdr:colOff>551999</xdr:colOff>
      <xdr:row>18</xdr:row>
      <xdr:rowOff>171000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7000B89-305F-435D-A324-2C88DE25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0</xdr:row>
      <xdr:rowOff>0</xdr:rowOff>
    </xdr:from>
    <xdr:to>
      <xdr:col>33</xdr:col>
      <xdr:colOff>552000</xdr:colOff>
      <xdr:row>18</xdr:row>
      <xdr:rowOff>171000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1DEF66C-3B6A-4310-8634-3EF0FAC0D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20</xdr:row>
      <xdr:rowOff>0</xdr:rowOff>
    </xdr:from>
    <xdr:to>
      <xdr:col>27</xdr:col>
      <xdr:colOff>551999</xdr:colOff>
      <xdr:row>36</xdr:row>
      <xdr:rowOff>171000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EF9776F-BE09-4243-9A3A-47867B4BF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0</xdr:colOff>
      <xdr:row>20</xdr:row>
      <xdr:rowOff>0</xdr:rowOff>
    </xdr:from>
    <xdr:to>
      <xdr:col>33</xdr:col>
      <xdr:colOff>552000</xdr:colOff>
      <xdr:row>36</xdr:row>
      <xdr:rowOff>171000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282381A-BEC0-414A-9749-7F1AFBC70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17</xdr:row>
      <xdr:rowOff>76200</xdr:rowOff>
    </xdr:from>
    <xdr:to>
      <xdr:col>2</xdr:col>
      <xdr:colOff>523875</xdr:colOff>
      <xdr:row>34</xdr:row>
      <xdr:rowOff>19349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3A21014-CF8F-4130-BEB2-36EFBB2D2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314700"/>
          <a:ext cx="1743075" cy="3562649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59</xdr:row>
      <xdr:rowOff>0</xdr:rowOff>
    </xdr:from>
    <xdr:to>
      <xdr:col>25</xdr:col>
      <xdr:colOff>552449</xdr:colOff>
      <xdr:row>59</xdr:row>
      <xdr:rowOff>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54C69875-586E-487D-822F-86C412F1E407}"/>
            </a:ext>
          </a:extLst>
        </xdr:cNvPr>
        <xdr:cNvGrpSpPr/>
      </xdr:nvGrpSpPr>
      <xdr:grpSpPr>
        <a:xfrm>
          <a:off x="10363200" y="11620500"/>
          <a:ext cx="5429249" cy="0"/>
          <a:chOff x="609601" y="16268700"/>
          <a:chExt cx="5429249" cy="1800000"/>
        </a:xfrm>
      </xdr:grpSpPr>
      <xdr:graphicFrame macro="">
        <xdr:nvGraphicFramePr>
          <xdr:cNvPr id="25" name="Chart 24">
            <a:extLst>
              <a:ext uri="{FF2B5EF4-FFF2-40B4-BE49-F238E27FC236}">
                <a16:creationId xmlns:a16="http://schemas.microsoft.com/office/drawing/2014/main" id="{7686D6D5-BF91-8B53-36A1-4AB84E1E573B}"/>
              </a:ext>
            </a:extLst>
          </xdr:cNvPr>
          <xdr:cNvGraphicFramePr>
            <a:graphicFrameLocks/>
          </xdr:cNvGraphicFramePr>
        </xdr:nvGraphicFramePr>
        <xdr:xfrm>
          <a:off x="609601" y="16268700"/>
          <a:ext cx="5429249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26" name="Oval 25">
            <a:extLst>
              <a:ext uri="{FF2B5EF4-FFF2-40B4-BE49-F238E27FC236}">
                <a16:creationId xmlns:a16="http://schemas.microsoft.com/office/drawing/2014/main" id="{C10FB620-AFA2-518F-51FB-D7711D8BCA68}"/>
              </a:ext>
            </a:extLst>
          </xdr:cNvPr>
          <xdr:cNvSpPr/>
        </xdr:nvSpPr>
        <xdr:spPr>
          <a:xfrm>
            <a:off x="1800225" y="16973550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27" name="Oval 26">
            <a:extLst>
              <a:ext uri="{FF2B5EF4-FFF2-40B4-BE49-F238E27FC236}">
                <a16:creationId xmlns:a16="http://schemas.microsoft.com/office/drawing/2014/main" id="{BDEAE512-E940-4AB9-9534-19DC48679D10}"/>
              </a:ext>
            </a:extLst>
          </xdr:cNvPr>
          <xdr:cNvSpPr/>
        </xdr:nvSpPr>
        <xdr:spPr>
          <a:xfrm>
            <a:off x="30289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28" name="Oval 27">
            <a:extLst>
              <a:ext uri="{FF2B5EF4-FFF2-40B4-BE49-F238E27FC236}">
                <a16:creationId xmlns:a16="http://schemas.microsoft.com/office/drawing/2014/main" id="{1E2D5E92-B6A1-9C9D-30D3-4A71743FB85E}"/>
              </a:ext>
            </a:extLst>
          </xdr:cNvPr>
          <xdr:cNvSpPr/>
        </xdr:nvSpPr>
        <xdr:spPr>
          <a:xfrm>
            <a:off x="40576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=</a:t>
            </a:r>
          </a:p>
        </xdr:txBody>
      </xdr:sp>
    </xdr:grpSp>
    <xdr:clientData/>
  </xdr:twoCellAnchor>
  <xdr:twoCellAnchor>
    <xdr:from>
      <xdr:col>0</xdr:col>
      <xdr:colOff>1</xdr:colOff>
      <xdr:row>49</xdr:row>
      <xdr:rowOff>0</xdr:rowOff>
    </xdr:from>
    <xdr:to>
      <xdr:col>9</xdr:col>
      <xdr:colOff>417601</xdr:colOff>
      <xdr:row>58</xdr:row>
      <xdr:rowOff>85500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8209494-7D14-499B-A6C9-EAB6D75F0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</xdr:colOff>
      <xdr:row>49</xdr:row>
      <xdr:rowOff>0</xdr:rowOff>
    </xdr:from>
    <xdr:to>
      <xdr:col>26</xdr:col>
      <xdr:colOff>417601</xdr:colOff>
      <xdr:row>58</xdr:row>
      <xdr:rowOff>85500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FC40FD-EF1B-4527-93FA-1D7F8C2D4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8</xdr:col>
      <xdr:colOff>552449</xdr:colOff>
      <xdr:row>79</xdr:row>
      <xdr:rowOff>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FDE06C4E-0361-4D06-8220-978FF8B7A5CB}"/>
            </a:ext>
          </a:extLst>
        </xdr:cNvPr>
        <xdr:cNvGrpSpPr/>
      </xdr:nvGrpSpPr>
      <xdr:grpSpPr>
        <a:xfrm>
          <a:off x="0" y="15420975"/>
          <a:ext cx="5429249" cy="0"/>
          <a:chOff x="609601" y="16268700"/>
          <a:chExt cx="5429249" cy="1800000"/>
        </a:xfrm>
      </xdr:grpSpPr>
      <xdr:graphicFrame macro="">
        <xdr:nvGraphicFramePr>
          <xdr:cNvPr id="22" name="Chart 21">
            <a:extLst>
              <a:ext uri="{FF2B5EF4-FFF2-40B4-BE49-F238E27FC236}">
                <a16:creationId xmlns:a16="http://schemas.microsoft.com/office/drawing/2014/main" id="{9959D305-536A-0C54-6C52-CF1AB0F96AC6}"/>
              </a:ext>
            </a:extLst>
          </xdr:cNvPr>
          <xdr:cNvGraphicFramePr>
            <a:graphicFrameLocks/>
          </xdr:cNvGraphicFramePr>
        </xdr:nvGraphicFramePr>
        <xdr:xfrm>
          <a:off x="609601" y="16268700"/>
          <a:ext cx="5429249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29" name="Oval 28">
            <a:extLst>
              <a:ext uri="{FF2B5EF4-FFF2-40B4-BE49-F238E27FC236}">
                <a16:creationId xmlns:a16="http://schemas.microsoft.com/office/drawing/2014/main" id="{1FACB55F-320D-BB56-7A1B-97625AFA6B58}"/>
              </a:ext>
            </a:extLst>
          </xdr:cNvPr>
          <xdr:cNvSpPr/>
        </xdr:nvSpPr>
        <xdr:spPr>
          <a:xfrm>
            <a:off x="1800225" y="16973550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30" name="Oval 29">
            <a:extLst>
              <a:ext uri="{FF2B5EF4-FFF2-40B4-BE49-F238E27FC236}">
                <a16:creationId xmlns:a16="http://schemas.microsoft.com/office/drawing/2014/main" id="{1DD81C66-63A1-C0D2-87D9-180FD9BECDBD}"/>
              </a:ext>
            </a:extLst>
          </xdr:cNvPr>
          <xdr:cNvSpPr/>
        </xdr:nvSpPr>
        <xdr:spPr>
          <a:xfrm>
            <a:off x="30289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31" name="Oval 30">
            <a:extLst>
              <a:ext uri="{FF2B5EF4-FFF2-40B4-BE49-F238E27FC236}">
                <a16:creationId xmlns:a16="http://schemas.microsoft.com/office/drawing/2014/main" id="{3D413CC7-A5EA-D0C1-4C8D-C33184EEBD84}"/>
              </a:ext>
            </a:extLst>
          </xdr:cNvPr>
          <xdr:cNvSpPr/>
        </xdr:nvSpPr>
        <xdr:spPr>
          <a:xfrm>
            <a:off x="40576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=</a:t>
            </a:r>
          </a:p>
        </xdr:txBody>
      </xdr:sp>
    </xdr:grpSp>
    <xdr:clientData/>
  </xdr:twoCellAnchor>
  <xdr:twoCellAnchor>
    <xdr:from>
      <xdr:col>0</xdr:col>
      <xdr:colOff>0</xdr:colOff>
      <xdr:row>69</xdr:row>
      <xdr:rowOff>28575</xdr:rowOff>
    </xdr:from>
    <xdr:to>
      <xdr:col>9</xdr:col>
      <xdr:colOff>417600</xdr:colOff>
      <xdr:row>78</xdr:row>
      <xdr:rowOff>114075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A8D510E5-7D00-44AE-B3BD-737E2E7A7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79</xdr:row>
      <xdr:rowOff>0</xdr:rowOff>
    </xdr:from>
    <xdr:to>
      <xdr:col>25</xdr:col>
      <xdr:colOff>552449</xdr:colOff>
      <xdr:row>79</xdr:row>
      <xdr:rowOff>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3C21A2DF-0E36-40B5-BD37-58A39D8AAA64}"/>
            </a:ext>
          </a:extLst>
        </xdr:cNvPr>
        <xdr:cNvGrpSpPr/>
      </xdr:nvGrpSpPr>
      <xdr:grpSpPr>
        <a:xfrm>
          <a:off x="10363200" y="15420975"/>
          <a:ext cx="5429249" cy="0"/>
          <a:chOff x="609601" y="16268700"/>
          <a:chExt cx="5429249" cy="1800000"/>
        </a:xfrm>
      </xdr:grpSpPr>
      <xdr:graphicFrame macro="">
        <xdr:nvGraphicFramePr>
          <xdr:cNvPr id="34" name="Chart 33">
            <a:extLst>
              <a:ext uri="{FF2B5EF4-FFF2-40B4-BE49-F238E27FC236}">
                <a16:creationId xmlns:a16="http://schemas.microsoft.com/office/drawing/2014/main" id="{BAF8F6B6-D68A-786E-7D44-61CC8777866A}"/>
              </a:ext>
            </a:extLst>
          </xdr:cNvPr>
          <xdr:cNvGraphicFramePr>
            <a:graphicFrameLocks/>
          </xdr:cNvGraphicFramePr>
        </xdr:nvGraphicFramePr>
        <xdr:xfrm>
          <a:off x="609601" y="16268700"/>
          <a:ext cx="5429249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35" name="Oval 34">
            <a:extLst>
              <a:ext uri="{FF2B5EF4-FFF2-40B4-BE49-F238E27FC236}">
                <a16:creationId xmlns:a16="http://schemas.microsoft.com/office/drawing/2014/main" id="{51C750F5-7BE0-1561-F598-8EC8DAD39FCD}"/>
              </a:ext>
            </a:extLst>
          </xdr:cNvPr>
          <xdr:cNvSpPr/>
        </xdr:nvSpPr>
        <xdr:spPr>
          <a:xfrm>
            <a:off x="1800225" y="16973550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36" name="Oval 35">
            <a:extLst>
              <a:ext uri="{FF2B5EF4-FFF2-40B4-BE49-F238E27FC236}">
                <a16:creationId xmlns:a16="http://schemas.microsoft.com/office/drawing/2014/main" id="{76831D8D-E328-5994-63BB-2233D5323B3B}"/>
              </a:ext>
            </a:extLst>
          </xdr:cNvPr>
          <xdr:cNvSpPr/>
        </xdr:nvSpPr>
        <xdr:spPr>
          <a:xfrm>
            <a:off x="30289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37" name="Oval 36">
            <a:extLst>
              <a:ext uri="{FF2B5EF4-FFF2-40B4-BE49-F238E27FC236}">
                <a16:creationId xmlns:a16="http://schemas.microsoft.com/office/drawing/2014/main" id="{F7A177AE-C1A0-02FB-AAD1-C24DE3CF1512}"/>
              </a:ext>
            </a:extLst>
          </xdr:cNvPr>
          <xdr:cNvSpPr/>
        </xdr:nvSpPr>
        <xdr:spPr>
          <a:xfrm>
            <a:off x="40576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=</a:t>
            </a:r>
          </a:p>
        </xdr:txBody>
      </xdr:sp>
    </xdr:grpSp>
    <xdr:clientData/>
  </xdr:twoCellAnchor>
  <xdr:twoCellAnchor>
    <xdr:from>
      <xdr:col>17</xdr:col>
      <xdr:colOff>1</xdr:colOff>
      <xdr:row>69</xdr:row>
      <xdr:rowOff>0</xdr:rowOff>
    </xdr:from>
    <xdr:to>
      <xdr:col>26</xdr:col>
      <xdr:colOff>417601</xdr:colOff>
      <xdr:row>78</xdr:row>
      <xdr:rowOff>85500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A346FDB0-3A0A-447E-BC1C-49B18AC1A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8</xdr:col>
      <xdr:colOff>552449</xdr:colOff>
      <xdr:row>99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E2648C0-5918-4C5D-8A71-6248532556D5}"/>
            </a:ext>
          </a:extLst>
        </xdr:cNvPr>
        <xdr:cNvGrpSpPr/>
      </xdr:nvGrpSpPr>
      <xdr:grpSpPr>
        <a:xfrm>
          <a:off x="0" y="19230975"/>
          <a:ext cx="5429249" cy="0"/>
          <a:chOff x="609601" y="16268700"/>
          <a:chExt cx="5429249" cy="1800000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89B19E0F-1949-40A5-05A8-F69C6F183465}"/>
              </a:ext>
            </a:extLst>
          </xdr:cNvPr>
          <xdr:cNvGraphicFramePr>
            <a:graphicFrameLocks/>
          </xdr:cNvGraphicFramePr>
        </xdr:nvGraphicFramePr>
        <xdr:xfrm>
          <a:off x="609601" y="16268700"/>
          <a:ext cx="5429249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E480EC42-C431-BF9D-9CB6-7E11A29F3007}"/>
              </a:ext>
            </a:extLst>
          </xdr:cNvPr>
          <xdr:cNvSpPr/>
        </xdr:nvSpPr>
        <xdr:spPr>
          <a:xfrm>
            <a:off x="1800225" y="16973550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6" name="Oval 5">
            <a:extLst>
              <a:ext uri="{FF2B5EF4-FFF2-40B4-BE49-F238E27FC236}">
                <a16:creationId xmlns:a16="http://schemas.microsoft.com/office/drawing/2014/main" id="{5ACCE193-2FA4-C14C-C292-FC917E4C2CA8}"/>
              </a:ext>
            </a:extLst>
          </xdr:cNvPr>
          <xdr:cNvSpPr/>
        </xdr:nvSpPr>
        <xdr:spPr>
          <a:xfrm>
            <a:off x="30289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5E402E8C-7EAC-892B-EC56-734B2606C565}"/>
              </a:ext>
            </a:extLst>
          </xdr:cNvPr>
          <xdr:cNvSpPr/>
        </xdr:nvSpPr>
        <xdr:spPr>
          <a:xfrm>
            <a:off x="40576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=</a:t>
            </a:r>
          </a:p>
        </xdr:txBody>
      </xdr:sp>
    </xdr:grpSp>
    <xdr:clientData/>
  </xdr:twoCellAnchor>
  <xdr:twoCellAnchor>
    <xdr:from>
      <xdr:col>0</xdr:col>
      <xdr:colOff>0</xdr:colOff>
      <xdr:row>89</xdr:row>
      <xdr:rowOff>28575</xdr:rowOff>
    </xdr:from>
    <xdr:to>
      <xdr:col>9</xdr:col>
      <xdr:colOff>417600</xdr:colOff>
      <xdr:row>98</xdr:row>
      <xdr:rowOff>114075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9874257-6D78-475D-95BB-093AD7AF7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0</xdr:colOff>
      <xdr:row>99</xdr:row>
      <xdr:rowOff>0</xdr:rowOff>
    </xdr:from>
    <xdr:to>
      <xdr:col>25</xdr:col>
      <xdr:colOff>552449</xdr:colOff>
      <xdr:row>99</xdr:row>
      <xdr:rowOff>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BC059DE7-C67A-4520-BCCF-33BF3E078D19}"/>
            </a:ext>
          </a:extLst>
        </xdr:cNvPr>
        <xdr:cNvGrpSpPr/>
      </xdr:nvGrpSpPr>
      <xdr:grpSpPr>
        <a:xfrm>
          <a:off x="10363200" y="19230975"/>
          <a:ext cx="5429249" cy="0"/>
          <a:chOff x="609601" y="16268700"/>
          <a:chExt cx="5429249" cy="1800000"/>
        </a:xfrm>
      </xdr:grpSpPr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C4AA7019-E372-7D32-4839-289B0B91C901}"/>
              </a:ext>
            </a:extLst>
          </xdr:cNvPr>
          <xdr:cNvGraphicFramePr>
            <a:graphicFrameLocks/>
          </xdr:cNvGraphicFramePr>
        </xdr:nvGraphicFramePr>
        <xdr:xfrm>
          <a:off x="609601" y="16268700"/>
          <a:ext cx="5429249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BA43D1D5-14C1-B20B-7D83-6617F7194087}"/>
              </a:ext>
            </a:extLst>
          </xdr:cNvPr>
          <xdr:cNvSpPr/>
        </xdr:nvSpPr>
        <xdr:spPr>
          <a:xfrm>
            <a:off x="1800225" y="16973550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435E4281-514E-C627-3903-06A0D29B14AD}"/>
              </a:ext>
            </a:extLst>
          </xdr:cNvPr>
          <xdr:cNvSpPr/>
        </xdr:nvSpPr>
        <xdr:spPr>
          <a:xfrm>
            <a:off x="30289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19" name="Oval 18">
            <a:extLst>
              <a:ext uri="{FF2B5EF4-FFF2-40B4-BE49-F238E27FC236}">
                <a16:creationId xmlns:a16="http://schemas.microsoft.com/office/drawing/2014/main" id="{ABB1E9CE-8CF8-04D6-FEC9-028F6DEF365D}"/>
              </a:ext>
            </a:extLst>
          </xdr:cNvPr>
          <xdr:cNvSpPr/>
        </xdr:nvSpPr>
        <xdr:spPr>
          <a:xfrm>
            <a:off x="40576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=</a:t>
            </a:r>
          </a:p>
        </xdr:txBody>
      </xdr:sp>
    </xdr:grpSp>
    <xdr:clientData/>
  </xdr:twoCellAnchor>
  <xdr:twoCellAnchor>
    <xdr:from>
      <xdr:col>0</xdr:col>
      <xdr:colOff>0</xdr:colOff>
      <xdr:row>119</xdr:row>
      <xdr:rowOff>0</xdr:rowOff>
    </xdr:from>
    <xdr:to>
      <xdr:col>8</xdr:col>
      <xdr:colOff>0</xdr:colOff>
      <xdr:row>119</xdr:row>
      <xdr:rowOff>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3153F652-BDDB-46A1-94D3-F37CC9755D91}"/>
            </a:ext>
          </a:extLst>
        </xdr:cNvPr>
        <xdr:cNvGrpSpPr/>
      </xdr:nvGrpSpPr>
      <xdr:grpSpPr>
        <a:xfrm>
          <a:off x="0" y="23040975"/>
          <a:ext cx="4876800" cy="0"/>
          <a:chOff x="609601" y="16268700"/>
          <a:chExt cx="5429249" cy="1800000"/>
        </a:xfrm>
      </xdr:grpSpPr>
      <xdr:graphicFrame macro="">
        <xdr:nvGraphicFramePr>
          <xdr:cNvPr id="40" name="Chart 39">
            <a:extLst>
              <a:ext uri="{FF2B5EF4-FFF2-40B4-BE49-F238E27FC236}">
                <a16:creationId xmlns:a16="http://schemas.microsoft.com/office/drawing/2014/main" id="{DF2ABDB2-B2BE-C23C-397A-A3FE6BADE7F2}"/>
              </a:ext>
            </a:extLst>
          </xdr:cNvPr>
          <xdr:cNvGraphicFramePr>
            <a:graphicFrameLocks/>
          </xdr:cNvGraphicFramePr>
        </xdr:nvGraphicFramePr>
        <xdr:xfrm>
          <a:off x="609601" y="16268700"/>
          <a:ext cx="5429249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sp macro="" textlink="">
        <xdr:nvSpPr>
          <xdr:cNvPr id="41" name="Oval 40">
            <a:extLst>
              <a:ext uri="{FF2B5EF4-FFF2-40B4-BE49-F238E27FC236}">
                <a16:creationId xmlns:a16="http://schemas.microsoft.com/office/drawing/2014/main" id="{1649603D-E5DD-E80D-BCD6-842D5B167CBD}"/>
              </a:ext>
            </a:extLst>
          </xdr:cNvPr>
          <xdr:cNvSpPr/>
        </xdr:nvSpPr>
        <xdr:spPr>
          <a:xfrm>
            <a:off x="1800225" y="16973550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42" name="Oval 41">
            <a:extLst>
              <a:ext uri="{FF2B5EF4-FFF2-40B4-BE49-F238E27FC236}">
                <a16:creationId xmlns:a16="http://schemas.microsoft.com/office/drawing/2014/main" id="{214AF23F-88E8-D0F9-C016-A2211F040EC4}"/>
              </a:ext>
            </a:extLst>
          </xdr:cNvPr>
          <xdr:cNvSpPr/>
        </xdr:nvSpPr>
        <xdr:spPr>
          <a:xfrm>
            <a:off x="30289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+</a:t>
            </a:r>
          </a:p>
        </xdr:txBody>
      </xdr:sp>
      <xdr:sp macro="" textlink="">
        <xdr:nvSpPr>
          <xdr:cNvPr id="43" name="Oval 42">
            <a:extLst>
              <a:ext uri="{FF2B5EF4-FFF2-40B4-BE49-F238E27FC236}">
                <a16:creationId xmlns:a16="http://schemas.microsoft.com/office/drawing/2014/main" id="{068B3996-332C-6AC0-2869-2111B6DF6204}"/>
              </a:ext>
            </a:extLst>
          </xdr:cNvPr>
          <xdr:cNvSpPr/>
        </xdr:nvSpPr>
        <xdr:spPr>
          <a:xfrm>
            <a:off x="4057650" y="16983075"/>
            <a:ext cx="295275" cy="29527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100" b="1">
                <a:solidFill>
                  <a:sysClr val="windowText" lastClr="000000"/>
                </a:solidFill>
              </a:rPr>
              <a:t>=</a:t>
            </a:r>
          </a:p>
        </xdr:txBody>
      </xdr:sp>
    </xdr:grpSp>
    <xdr:clientData/>
  </xdr:twoCellAnchor>
  <xdr:twoCellAnchor>
    <xdr:from>
      <xdr:col>0</xdr:col>
      <xdr:colOff>0</xdr:colOff>
      <xdr:row>109</xdr:row>
      <xdr:rowOff>28574</xdr:rowOff>
    </xdr:from>
    <xdr:to>
      <xdr:col>9</xdr:col>
      <xdr:colOff>417600</xdr:colOff>
      <xdr:row>118</xdr:row>
      <xdr:rowOff>114074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3DE5693C-9973-4A58-B7D4-86C71FEA0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13</xdr:row>
      <xdr:rowOff>47625</xdr:rowOff>
    </xdr:from>
    <xdr:to>
      <xdr:col>22</xdr:col>
      <xdr:colOff>0</xdr:colOff>
      <xdr:row>29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715D66-BA85-4AF2-AACF-3D7DF2D50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382905</xdr:colOff>
      <xdr:row>66</xdr:row>
      <xdr:rowOff>146685</xdr:rowOff>
    </xdr:from>
    <xdr:to>
      <xdr:col>6</xdr:col>
      <xdr:colOff>236220</xdr:colOff>
      <xdr:row>78</xdr:row>
      <xdr:rowOff>82763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223E5B-2614-4885-8ADE-0C77A40B2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1805285"/>
          <a:ext cx="4377690" cy="268689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84</xdr:row>
      <xdr:rowOff>200026</xdr:rowOff>
    </xdr:from>
    <xdr:to>
      <xdr:col>5</xdr:col>
      <xdr:colOff>700500</xdr:colOff>
      <xdr:row>92</xdr:row>
      <xdr:rowOff>197071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87953C-7E84-4745-A380-82D93F1DD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9411951"/>
          <a:ext cx="4224750" cy="18258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9</xdr:col>
      <xdr:colOff>285750</xdr:colOff>
      <xdr:row>210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B123061-3B49-44F4-B562-E4015A26D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181</xdr:row>
      <xdr:rowOff>0</xdr:rowOff>
    </xdr:from>
    <xdr:to>
      <xdr:col>9</xdr:col>
      <xdr:colOff>285750</xdr:colOff>
      <xdr:row>195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680F1D5-E8A0-4328-8626-94A88BDBE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857249</xdr:colOff>
      <xdr:row>182</xdr:row>
      <xdr:rowOff>0</xdr:rowOff>
    </xdr:from>
    <xdr:to>
      <xdr:col>7</xdr:col>
      <xdr:colOff>466724</xdr:colOff>
      <xdr:row>183</xdr:row>
      <xdr:rowOff>9525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2CC4AA5-2002-4A49-AAA2-49648A2CA58B}"/>
            </a:ext>
          </a:extLst>
        </xdr:cNvPr>
        <xdr:cNvSpPr txBox="1"/>
      </xdr:nvSpPr>
      <xdr:spPr>
        <a:xfrm>
          <a:off x="5591174" y="35956875"/>
          <a:ext cx="4667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  D</a:t>
          </a:r>
        </a:p>
      </xdr:txBody>
    </xdr:sp>
    <xdr:clientData/>
  </xdr:twoCellAnchor>
  <xdr:twoCellAnchor editAs="oneCell">
    <xdr:from>
      <xdr:col>1</xdr:col>
      <xdr:colOff>666750</xdr:colOff>
      <xdr:row>110</xdr:row>
      <xdr:rowOff>38100</xdr:rowOff>
    </xdr:from>
    <xdr:to>
      <xdr:col>8</xdr:col>
      <xdr:colOff>66000</xdr:colOff>
      <xdr:row>118</xdr:row>
      <xdr:rowOff>172178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4939B5A-7AF1-4AE9-9C0C-1A2B90F4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24803100"/>
          <a:ext cx="5400000" cy="2039078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295274</xdr:colOff>
      <xdr:row>119</xdr:row>
      <xdr:rowOff>190500</xdr:rowOff>
    </xdr:from>
    <xdr:to>
      <xdr:col>7</xdr:col>
      <xdr:colOff>109227</xdr:colOff>
      <xdr:row>137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1B3A46-2790-4B5C-9CBD-ED5F470E9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199" y="27098625"/>
          <a:ext cx="4100203" cy="4248149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219074</xdr:colOff>
      <xdr:row>2</xdr:row>
      <xdr:rowOff>0</xdr:rowOff>
    </xdr:from>
    <xdr:to>
      <xdr:col>3</xdr:col>
      <xdr:colOff>552449</xdr:colOff>
      <xdr:row>15</xdr:row>
      <xdr:rowOff>57150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3BA0E9-161C-4B4B-AC5B-CE9CD2D7B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49" y="476250"/>
          <a:ext cx="2047875" cy="3152775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16</xdr:row>
      <xdr:rowOff>1</xdr:rowOff>
    </xdr:from>
    <xdr:to>
      <xdr:col>7</xdr:col>
      <xdr:colOff>742275</xdr:colOff>
      <xdr:row>28</xdr:row>
      <xdr:rowOff>51592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52A8F0-9A98-448E-B616-E0B910324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3450" y="3810001"/>
          <a:ext cx="5400000" cy="290909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39</xdr:row>
      <xdr:rowOff>0</xdr:rowOff>
    </xdr:from>
    <xdr:to>
      <xdr:col>3</xdr:col>
      <xdr:colOff>578850</xdr:colOff>
      <xdr:row>51</xdr:row>
      <xdr:rowOff>153266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4A83D14-8E11-4F06-8832-0C3E1F4B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1025" y="9286875"/>
          <a:ext cx="2160000" cy="301076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73</xdr:row>
      <xdr:rowOff>47626</xdr:rowOff>
    </xdr:from>
    <xdr:to>
      <xdr:col>3</xdr:col>
      <xdr:colOff>629700</xdr:colOff>
      <xdr:row>85</xdr:row>
      <xdr:rowOff>158177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250DAC-CB47-463B-9566-CAABEF2EA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3875" y="17430751"/>
          <a:ext cx="2268000" cy="296805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188</xdr:row>
      <xdr:rowOff>28575</xdr:rowOff>
    </xdr:from>
    <xdr:to>
      <xdr:col>3</xdr:col>
      <xdr:colOff>139555</xdr:colOff>
      <xdr:row>200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B57194F-CC78-4930-9900-6495D508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" y="44796075"/>
          <a:ext cx="1806430" cy="28860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213</xdr:row>
      <xdr:rowOff>47625</xdr:rowOff>
    </xdr:from>
    <xdr:to>
      <xdr:col>7</xdr:col>
      <xdr:colOff>571501</xdr:colOff>
      <xdr:row>226</xdr:row>
      <xdr:rowOff>206390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00612C-3C1F-461B-892C-7AFA8CF93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43026" y="50768250"/>
          <a:ext cx="4819650" cy="3254390"/>
        </a:xfrm>
        <a:prstGeom prst="rect">
          <a:avLst/>
        </a:prstGeom>
      </xdr:spPr>
    </xdr:pic>
    <xdr:clientData/>
  </xdr:twoCellAnchor>
  <xdr:twoCellAnchor editAs="oneCell">
    <xdr:from>
      <xdr:col>18</xdr:col>
      <xdr:colOff>638174</xdr:colOff>
      <xdr:row>274</xdr:row>
      <xdr:rowOff>28576</xdr:rowOff>
    </xdr:from>
    <xdr:to>
      <xdr:col>19</xdr:col>
      <xdr:colOff>765674</xdr:colOff>
      <xdr:row>281</xdr:row>
      <xdr:rowOff>1710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FE00F9A-DD96-49AB-A557-F00D0E9D64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55533"/>
        <a:stretch/>
      </xdr:blipFill>
      <xdr:spPr>
        <a:xfrm>
          <a:off x="15268574" y="65512951"/>
          <a:ext cx="1080000" cy="1640009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85726</xdr:colOff>
      <xdr:row>274</xdr:row>
      <xdr:rowOff>57150</xdr:rowOff>
    </xdr:from>
    <xdr:to>
      <xdr:col>16</xdr:col>
      <xdr:colOff>594226</xdr:colOff>
      <xdr:row>281</xdr:row>
      <xdr:rowOff>90743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B344312-30A4-4E7C-9788-2C342A3B4C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7115"/>
        <a:stretch/>
      </xdr:blipFill>
      <xdr:spPr>
        <a:xfrm>
          <a:off x="11610976" y="65541525"/>
          <a:ext cx="1080000" cy="1700468"/>
        </a:xfrm>
        <a:prstGeom prst="rect">
          <a:avLst/>
        </a:prstGeom>
      </xdr:spPr>
    </xdr:pic>
    <xdr:clientData/>
  </xdr:twoCellAnchor>
  <xdr:twoCellAnchor>
    <xdr:from>
      <xdr:col>16</xdr:col>
      <xdr:colOff>685800</xdr:colOff>
      <xdr:row>273</xdr:row>
      <xdr:rowOff>133350</xdr:rowOff>
    </xdr:from>
    <xdr:to>
      <xdr:col>17</xdr:col>
      <xdr:colOff>914175</xdr:colOff>
      <xdr:row>281</xdr:row>
      <xdr:rowOff>28350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A75C1A-EC6E-479C-BB97-CCF0506DD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952500</xdr:colOff>
      <xdr:row>273</xdr:row>
      <xdr:rowOff>123825</xdr:rowOff>
    </xdr:from>
    <xdr:to>
      <xdr:col>21</xdr:col>
      <xdr:colOff>399825</xdr:colOff>
      <xdr:row>281</xdr:row>
      <xdr:rowOff>18825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C58E39-B81E-45B2-87DC-D15106620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37</xdr:row>
      <xdr:rowOff>160020</xdr:rowOff>
    </xdr:from>
    <xdr:to>
      <xdr:col>11</xdr:col>
      <xdr:colOff>120015</xdr:colOff>
      <xdr:row>55</xdr:row>
      <xdr:rowOff>200025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A610CD-4D05-41EB-AECE-7B5CCEEA7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123825</xdr:colOff>
      <xdr:row>5</xdr:row>
      <xdr:rowOff>95250</xdr:rowOff>
    </xdr:from>
    <xdr:to>
      <xdr:col>9</xdr:col>
      <xdr:colOff>304125</xdr:colOff>
      <xdr:row>12</xdr:row>
      <xdr:rowOff>126989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F2895-64BC-4B4F-89B2-BC5FAFA96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85875"/>
          <a:ext cx="5400000" cy="16986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113</xdr:row>
      <xdr:rowOff>0</xdr:rowOff>
    </xdr:from>
    <xdr:to>
      <xdr:col>5</xdr:col>
      <xdr:colOff>9525</xdr:colOff>
      <xdr:row>114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E0DD1D4-0CA6-4A09-923B-03836EA6DB98}"/>
            </a:ext>
          </a:extLst>
        </xdr:cNvPr>
        <xdr:cNvSpPr txBox="1"/>
      </xdr:nvSpPr>
      <xdr:spPr>
        <a:xfrm>
          <a:off x="3162300" y="27384375"/>
          <a:ext cx="9144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&lt;</a:t>
          </a:r>
        </a:p>
      </xdr:txBody>
    </xdr:sp>
    <xdr:clientData/>
  </xdr:twoCellAnchor>
  <xdr:twoCellAnchor>
    <xdr:from>
      <xdr:col>7</xdr:col>
      <xdr:colOff>914400</xdr:colOff>
      <xdr:row>122</xdr:row>
      <xdr:rowOff>0</xdr:rowOff>
    </xdr:from>
    <xdr:to>
      <xdr:col>9</xdr:col>
      <xdr:colOff>57150</xdr:colOff>
      <xdr:row>123</xdr:row>
      <xdr:rowOff>9525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FB81C9-6937-4BB0-918A-00BA71791751}"/>
            </a:ext>
          </a:extLst>
        </xdr:cNvPr>
        <xdr:cNvSpPr txBox="1"/>
      </xdr:nvSpPr>
      <xdr:spPr>
        <a:xfrm>
          <a:off x="6791325" y="29289375"/>
          <a:ext cx="9048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kN (              )</a:t>
          </a:r>
        </a:p>
      </xdr:txBody>
    </xdr:sp>
    <xdr:clientData/>
  </xdr:twoCellAnchor>
  <xdr:twoCellAnchor>
    <xdr:from>
      <xdr:col>7</xdr:col>
      <xdr:colOff>914400</xdr:colOff>
      <xdr:row>123</xdr:row>
      <xdr:rowOff>0</xdr:rowOff>
    </xdr:from>
    <xdr:to>
      <xdr:col>9</xdr:col>
      <xdr:colOff>57150</xdr:colOff>
      <xdr:row>124</xdr:row>
      <xdr:rowOff>9525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4D00C77-6EE2-4DEF-A00D-08BF0DF9D4EF}"/>
            </a:ext>
          </a:extLst>
        </xdr:cNvPr>
        <xdr:cNvSpPr txBox="1"/>
      </xdr:nvSpPr>
      <xdr:spPr>
        <a:xfrm>
          <a:off x="6791325" y="29527500"/>
          <a:ext cx="9048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kN (              )</a:t>
          </a:r>
        </a:p>
      </xdr:txBody>
    </xdr:sp>
    <xdr:clientData/>
  </xdr:twoCellAnchor>
  <xdr:twoCellAnchor>
    <xdr:from>
      <xdr:col>7</xdr:col>
      <xdr:colOff>914400</xdr:colOff>
      <xdr:row>124</xdr:row>
      <xdr:rowOff>0</xdr:rowOff>
    </xdr:from>
    <xdr:to>
      <xdr:col>9</xdr:col>
      <xdr:colOff>57150</xdr:colOff>
      <xdr:row>125</xdr:row>
      <xdr:rowOff>9525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2858D2E-6DDD-4CD9-A0E4-CD77077B6746}"/>
            </a:ext>
          </a:extLst>
        </xdr:cNvPr>
        <xdr:cNvSpPr txBox="1"/>
      </xdr:nvSpPr>
      <xdr:spPr>
        <a:xfrm>
          <a:off x="6791325" y="29765625"/>
          <a:ext cx="9048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kN (              )</a:t>
          </a:r>
        </a:p>
      </xdr:txBody>
    </xdr:sp>
    <xdr:clientData/>
  </xdr:twoCellAnchor>
  <xdr:twoCellAnchor>
    <xdr:from>
      <xdr:col>7</xdr:col>
      <xdr:colOff>914400</xdr:colOff>
      <xdr:row>125</xdr:row>
      <xdr:rowOff>0</xdr:rowOff>
    </xdr:from>
    <xdr:to>
      <xdr:col>9</xdr:col>
      <xdr:colOff>57150</xdr:colOff>
      <xdr:row>126</xdr:row>
      <xdr:rowOff>9525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BDA82DE-CF3E-4B81-BB85-C616EA8BE31C}"/>
            </a:ext>
          </a:extLst>
        </xdr:cNvPr>
        <xdr:cNvSpPr txBox="1"/>
      </xdr:nvSpPr>
      <xdr:spPr>
        <a:xfrm>
          <a:off x="6791325" y="30003750"/>
          <a:ext cx="9048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kN (              )</a:t>
          </a:r>
        </a:p>
      </xdr:txBody>
    </xdr:sp>
    <xdr:clientData/>
  </xdr:twoCellAnchor>
  <xdr:twoCellAnchor>
    <xdr:from>
      <xdr:col>7</xdr:col>
      <xdr:colOff>914400</xdr:colOff>
      <xdr:row>126</xdr:row>
      <xdr:rowOff>0</xdr:rowOff>
    </xdr:from>
    <xdr:to>
      <xdr:col>9</xdr:col>
      <xdr:colOff>57150</xdr:colOff>
      <xdr:row>127</xdr:row>
      <xdr:rowOff>9525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75CE778-FAC3-4A52-8DC8-11C4274A378C}"/>
            </a:ext>
          </a:extLst>
        </xdr:cNvPr>
        <xdr:cNvSpPr txBox="1"/>
      </xdr:nvSpPr>
      <xdr:spPr>
        <a:xfrm>
          <a:off x="6791325" y="30241875"/>
          <a:ext cx="9048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kN (              )</a:t>
          </a:r>
        </a:p>
      </xdr:txBody>
    </xdr:sp>
    <xdr:clientData/>
  </xdr:twoCellAnchor>
  <xdr:twoCellAnchor>
    <xdr:from>
      <xdr:col>1</xdr:col>
      <xdr:colOff>85725</xdr:colOff>
      <xdr:row>127</xdr:row>
      <xdr:rowOff>180975</xdr:rowOff>
    </xdr:from>
    <xdr:to>
      <xdr:col>6</xdr:col>
      <xdr:colOff>133350</xdr:colOff>
      <xdr:row>147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CFA543-1CD6-5688-564F-7381625AA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233891</xdr:rowOff>
    </xdr:from>
    <xdr:to>
      <xdr:col>8</xdr:col>
      <xdr:colOff>437083</xdr:colOff>
      <xdr:row>19</xdr:row>
      <xdr:rowOff>137752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D9A806-AB82-46B8-B4FF-24E8FE78BF2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8</xdr:col>
      <xdr:colOff>437083</xdr:colOff>
      <xdr:row>41</xdr:row>
      <xdr:rowOff>138033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5D287D2-7052-4818-B825-701DB2DA85B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8</xdr:col>
      <xdr:colOff>437083</xdr:colOff>
      <xdr:row>62</xdr:row>
      <xdr:rowOff>138033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BF5797-3D50-4F45-AA46-5773FDD6101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75</xdr:row>
      <xdr:rowOff>0</xdr:rowOff>
    </xdr:from>
    <xdr:to>
      <xdr:col>8</xdr:col>
      <xdr:colOff>437083</xdr:colOff>
      <xdr:row>83</xdr:row>
      <xdr:rowOff>138033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BB333EF-FFB9-4FE0-B2DF-71B1B2E3815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8</xdr:col>
      <xdr:colOff>437083</xdr:colOff>
      <xdr:row>103</xdr:row>
      <xdr:rowOff>138032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F6BD11D-C21A-4A20-A436-C6922EB7C6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117</xdr:row>
      <xdr:rowOff>0</xdr:rowOff>
    </xdr:from>
    <xdr:to>
      <xdr:col>8</xdr:col>
      <xdr:colOff>437083</xdr:colOff>
      <xdr:row>125</xdr:row>
      <xdr:rowOff>138033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1EACE37-7F8F-48D6-AD83-D6EFB9D7FBF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469B-2288-457A-9E95-A7E64CB7446B}">
  <sheetPr codeName="Sheet1">
    <tabColor theme="5" tint="-0.249977111117893"/>
  </sheetPr>
  <dimension ref="B2:J28"/>
  <sheetViews>
    <sheetView tabSelected="1" workbookViewId="0"/>
  </sheetViews>
  <sheetFormatPr defaultColWidth="9.140625" defaultRowHeight="18.75" customHeight="1" x14ac:dyDescent="0.25"/>
  <cols>
    <col min="1" max="1" width="4.28515625" style="372" customWidth="1"/>
    <col min="2" max="2" width="16.7109375" style="372" customWidth="1"/>
    <col min="3" max="3" width="2.85546875" style="371" customWidth="1"/>
    <col min="4" max="16384" width="9.140625" style="372"/>
  </cols>
  <sheetData>
    <row r="2" spans="2:10" ht="15.75" x14ac:dyDescent="0.25">
      <c r="B2" s="370" t="s">
        <v>988</v>
      </c>
      <c r="C2" s="371" t="s">
        <v>70</v>
      </c>
      <c r="D2" s="372" t="s">
        <v>1000</v>
      </c>
    </row>
    <row r="3" spans="2:10" ht="15.75" x14ac:dyDescent="0.25">
      <c r="B3" s="370" t="s">
        <v>989</v>
      </c>
      <c r="C3" s="371" t="s">
        <v>70</v>
      </c>
      <c r="D3" s="372" t="s">
        <v>1341</v>
      </c>
    </row>
    <row r="4" spans="2:10" ht="15.75" x14ac:dyDescent="0.25">
      <c r="B4" s="370" t="s">
        <v>990</v>
      </c>
      <c r="C4" s="371" t="s">
        <v>70</v>
      </c>
      <c r="D4" s="373" t="s">
        <v>991</v>
      </c>
    </row>
    <row r="5" spans="2:10" ht="15.75" x14ac:dyDescent="0.25">
      <c r="B5" s="370" t="s">
        <v>1343</v>
      </c>
      <c r="C5" s="371" t="s">
        <v>70</v>
      </c>
      <c r="D5" s="373" t="s">
        <v>1342</v>
      </c>
    </row>
    <row r="6" spans="2:10" ht="15.75" x14ac:dyDescent="0.25">
      <c r="B6" s="370"/>
    </row>
    <row r="7" spans="2:10" ht="15.75" x14ac:dyDescent="0.25">
      <c r="B7" s="370" t="s">
        <v>992</v>
      </c>
      <c r="C7" s="371" t="s">
        <v>70</v>
      </c>
      <c r="D7" s="372" t="s">
        <v>993</v>
      </c>
    </row>
    <row r="8" spans="2:10" ht="15.75" x14ac:dyDescent="0.25">
      <c r="B8" s="370" t="s">
        <v>994</v>
      </c>
      <c r="C8" s="371" t="s">
        <v>70</v>
      </c>
      <c r="D8" s="374" t="s">
        <v>976</v>
      </c>
    </row>
    <row r="9" spans="2:10" ht="15.75" x14ac:dyDescent="0.25">
      <c r="C9" s="372"/>
      <c r="J9" s="375"/>
    </row>
    <row r="11" spans="2:10" ht="15.75" x14ac:dyDescent="0.25">
      <c r="B11" s="376" t="s">
        <v>995</v>
      </c>
      <c r="C11" s="377"/>
      <c r="D11" s="377"/>
      <c r="E11" s="377"/>
      <c r="F11" s="377"/>
      <c r="G11" s="377"/>
      <c r="H11" s="377"/>
      <c r="I11" s="377"/>
    </row>
    <row r="13" spans="2:10" ht="15.75" x14ac:dyDescent="0.25"/>
    <row r="24" spans="2:10" ht="15.75" x14ac:dyDescent="0.25">
      <c r="B24" s="372" t="s">
        <v>996</v>
      </c>
    </row>
    <row r="25" spans="2:10" ht="15.75" x14ac:dyDescent="0.25">
      <c r="B25" s="372" t="s">
        <v>997</v>
      </c>
    </row>
    <row r="27" spans="2:10" ht="15.75" x14ac:dyDescent="0.25">
      <c r="B27" s="372" t="s">
        <v>998</v>
      </c>
      <c r="C27" s="372"/>
    </row>
    <row r="28" spans="2:10" ht="15.75" x14ac:dyDescent="0.25">
      <c r="B28" s="378" t="s">
        <v>999</v>
      </c>
      <c r="C28" s="379"/>
      <c r="D28" s="379"/>
      <c r="E28" s="379"/>
      <c r="F28" s="379"/>
      <c r="G28" s="379"/>
      <c r="H28" s="379"/>
      <c r="I28" s="379"/>
      <c r="J28" s="379"/>
    </row>
  </sheetData>
  <hyperlinks>
    <hyperlink ref="D8" r:id="rId1" xr:uid="{BFE8374E-D5EE-4343-AAF7-EA83E7D6738A}"/>
    <hyperlink ref="B28" r:id="rId2" xr:uid="{4C735866-B576-48A5-B6AF-420D4840911D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EFEA-3D2C-4EBD-90FE-59799A4A67E9}">
  <sheetPr codeName="Sheet10">
    <tabColor theme="7" tint="0.79998168889431442"/>
  </sheetPr>
  <dimension ref="A1:M10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85546875" defaultRowHeight="19.149999999999999" customHeight="1" x14ac:dyDescent="0.25"/>
  <cols>
    <col min="1" max="1" width="6.7109375" style="63" customWidth="1"/>
    <col min="2" max="7" width="13.5703125" style="8" customWidth="1"/>
    <col min="8" max="8" width="14.28515625" style="8" customWidth="1"/>
    <col min="9" max="9" width="12.140625" style="16" customWidth="1"/>
    <col min="10" max="10" width="9.42578125" style="90" customWidth="1"/>
    <col min="11" max="11" width="8.85546875" style="8"/>
    <col min="12" max="12" width="8.85546875" style="27"/>
    <col min="13" max="16384" width="8.85546875" style="8"/>
  </cols>
  <sheetData>
    <row r="1" spans="1:13" s="1" customFormat="1" ht="18.75" customHeight="1" x14ac:dyDescent="0.25">
      <c r="A1" s="213" t="s">
        <v>870</v>
      </c>
      <c r="B1" s="596" t="s">
        <v>871</v>
      </c>
      <c r="C1" s="596"/>
      <c r="D1" s="596"/>
      <c r="E1" s="596"/>
      <c r="F1" s="596"/>
      <c r="G1" s="213" t="s">
        <v>872</v>
      </c>
      <c r="H1" s="213" t="s">
        <v>873</v>
      </c>
      <c r="I1" s="215" t="s">
        <v>874</v>
      </c>
    </row>
    <row r="2" spans="1:13" ht="19.149999999999999" customHeight="1" x14ac:dyDescent="0.25">
      <c r="A2" s="239" t="s">
        <v>827</v>
      </c>
      <c r="B2" s="268" t="s">
        <v>834</v>
      </c>
      <c r="C2" s="133"/>
      <c r="D2" s="133"/>
      <c r="E2" s="133"/>
      <c r="F2" s="133"/>
      <c r="G2" s="133"/>
      <c r="H2" s="133"/>
      <c r="I2" s="269"/>
      <c r="J2" s="141"/>
      <c r="K2" s="135"/>
      <c r="L2" s="144"/>
      <c r="M2" s="135"/>
    </row>
    <row r="3" spans="1:13" ht="19.149999999999999" customHeight="1" x14ac:dyDescent="0.25">
      <c r="A3" s="239"/>
      <c r="B3" s="41" t="s">
        <v>423</v>
      </c>
      <c r="C3" s="89"/>
      <c r="D3" s="89"/>
      <c r="E3" s="89"/>
      <c r="F3" s="89"/>
      <c r="G3" s="136" t="s">
        <v>412</v>
      </c>
      <c r="H3" s="137">
        <f>4700*SQRT('Input (1)'!H29)*1000</f>
        <v>33234018.715767734</v>
      </c>
      <c r="I3" s="270" t="s">
        <v>135</v>
      </c>
    </row>
    <row r="4" spans="1:13" ht="19.149999999999999" customHeight="1" x14ac:dyDescent="0.25">
      <c r="A4" s="239"/>
      <c r="B4" s="41" t="s">
        <v>104</v>
      </c>
      <c r="C4" s="89"/>
      <c r="D4" s="89"/>
      <c r="E4" s="89"/>
      <c r="F4" s="133"/>
      <c r="G4" s="136" t="s">
        <v>403</v>
      </c>
      <c r="H4" s="129">
        <f>'Process (2)'!H69</f>
        <v>0.41398802635392218</v>
      </c>
      <c r="I4" s="270" t="s">
        <v>128</v>
      </c>
      <c r="K4" s="135"/>
      <c r="L4" s="144"/>
      <c r="M4" s="135"/>
    </row>
    <row r="5" spans="1:13" ht="19.149999999999999" customHeight="1" x14ac:dyDescent="0.25">
      <c r="A5" s="239"/>
      <c r="B5" s="41" t="s">
        <v>20</v>
      </c>
      <c r="C5" s="89"/>
      <c r="D5" s="89"/>
      <c r="E5" s="89"/>
      <c r="F5" s="133"/>
      <c r="G5" s="136" t="s">
        <v>21</v>
      </c>
      <c r="H5" s="137">
        <f>'Input (1)'!H24</f>
        <v>40</v>
      </c>
      <c r="I5" s="270" t="s">
        <v>2</v>
      </c>
      <c r="K5" s="135"/>
      <c r="L5" s="144"/>
      <c r="M5" s="135"/>
    </row>
    <row r="6" spans="1:13" ht="19.149999999999999" customHeight="1" x14ac:dyDescent="0.25">
      <c r="A6" s="239"/>
      <c r="B6" s="271"/>
      <c r="C6" s="89"/>
      <c r="D6" s="89"/>
      <c r="E6" s="89"/>
      <c r="F6" s="133"/>
      <c r="G6" s="133"/>
      <c r="H6" s="134"/>
      <c r="I6" s="270"/>
      <c r="K6" s="135"/>
      <c r="L6" s="144"/>
      <c r="M6" s="135"/>
    </row>
    <row r="7" spans="1:13" ht="19.149999999999999" customHeight="1" x14ac:dyDescent="0.25">
      <c r="A7" s="239" t="s">
        <v>1325</v>
      </c>
      <c r="B7" s="268" t="s">
        <v>520</v>
      </c>
      <c r="C7" s="133"/>
      <c r="D7" s="133"/>
      <c r="E7" s="133"/>
      <c r="F7" s="133"/>
      <c r="G7" s="133"/>
      <c r="H7" s="134"/>
      <c r="I7" s="270"/>
      <c r="K7" s="135"/>
      <c r="L7" s="144"/>
      <c r="M7" s="135"/>
    </row>
    <row r="8" spans="1:13" ht="19.149999999999999" customHeight="1" x14ac:dyDescent="0.25">
      <c r="A8" s="239"/>
      <c r="B8" s="271" t="s">
        <v>424</v>
      </c>
      <c r="C8" s="133"/>
      <c r="D8" s="133"/>
      <c r="E8" s="133"/>
      <c r="F8" s="133"/>
      <c r="G8" s="136" t="s">
        <v>413</v>
      </c>
      <c r="H8" s="138">
        <f>'Process (2)'!H166</f>
        <v>9905.5396910481722</v>
      </c>
      <c r="I8" s="270" t="s">
        <v>40</v>
      </c>
      <c r="K8" s="135"/>
      <c r="L8" s="144"/>
      <c r="M8" s="135"/>
    </row>
    <row r="9" spans="1:13" ht="19.149999999999999" customHeight="1" x14ac:dyDescent="0.25">
      <c r="A9" s="239"/>
      <c r="B9" s="41" t="s">
        <v>138</v>
      </c>
      <c r="C9" s="133"/>
      <c r="D9" s="133"/>
      <c r="E9" s="133"/>
      <c r="F9" s="133"/>
      <c r="G9" s="136" t="s">
        <v>414</v>
      </c>
      <c r="H9" s="138">
        <f>'Process (2)'!H148</f>
        <v>0.81195046302450269</v>
      </c>
      <c r="I9" s="270" t="s">
        <v>2</v>
      </c>
      <c r="K9" s="135"/>
      <c r="L9" s="144"/>
      <c r="M9" s="135"/>
    </row>
    <row r="10" spans="1:13" ht="19.149999999999999" customHeight="1" x14ac:dyDescent="0.25">
      <c r="A10" s="239"/>
      <c r="B10" s="271" t="s">
        <v>425</v>
      </c>
      <c r="C10" s="133"/>
      <c r="D10" s="133"/>
      <c r="E10" s="133"/>
      <c r="F10" s="133"/>
      <c r="G10" s="136" t="s">
        <v>146</v>
      </c>
      <c r="H10" s="138">
        <f>'Process (2)'!H140</f>
        <v>3611.0400000000013</v>
      </c>
      <c r="I10" s="270" t="s">
        <v>411</v>
      </c>
      <c r="K10" s="135"/>
      <c r="L10" s="144"/>
      <c r="M10" s="135"/>
    </row>
    <row r="11" spans="1:13" ht="19.149999999999999" customHeight="1" x14ac:dyDescent="0.25">
      <c r="A11" s="239"/>
      <c r="B11" s="271" t="s">
        <v>427</v>
      </c>
      <c r="C11" s="133"/>
      <c r="D11" s="133"/>
      <c r="E11" s="133"/>
      <c r="F11" s="133"/>
      <c r="G11" s="136" t="s">
        <v>415</v>
      </c>
      <c r="H11" s="138">
        <f>8*H8*H9/H5^2</f>
        <v>40.214037693270768</v>
      </c>
      <c r="I11" s="270" t="s">
        <v>39</v>
      </c>
      <c r="K11" s="133"/>
      <c r="L11" s="144"/>
      <c r="M11" s="135"/>
    </row>
    <row r="12" spans="1:13" ht="19.149999999999999" customHeight="1" x14ac:dyDescent="0.25">
      <c r="A12" s="239"/>
      <c r="B12" s="271" t="s">
        <v>426</v>
      </c>
      <c r="C12" s="133"/>
      <c r="D12" s="133"/>
      <c r="E12" s="133"/>
      <c r="F12" s="133"/>
      <c r="G12" s="136" t="s">
        <v>416</v>
      </c>
      <c r="H12" s="138">
        <f>8*H10/H5^2</f>
        <v>18.055200000000006</v>
      </c>
      <c r="I12" s="270" t="s">
        <v>39</v>
      </c>
      <c r="K12" s="133"/>
      <c r="L12" s="144"/>
      <c r="M12" s="135"/>
    </row>
    <row r="13" spans="1:13" ht="19.149999999999999" customHeight="1" x14ac:dyDescent="0.25">
      <c r="A13" s="239"/>
      <c r="B13" s="272" t="s">
        <v>428</v>
      </c>
      <c r="C13" s="89"/>
      <c r="D13" s="89"/>
      <c r="E13" s="89"/>
      <c r="F13" s="89"/>
      <c r="G13" s="89"/>
      <c r="H13" s="128"/>
      <c r="I13" s="273"/>
      <c r="K13" s="133"/>
      <c r="L13" s="144"/>
      <c r="M13" s="135"/>
    </row>
    <row r="14" spans="1:13" ht="19.149999999999999" customHeight="1" x14ac:dyDescent="0.25">
      <c r="A14" s="239"/>
      <c r="B14" s="272"/>
      <c r="C14" s="89"/>
      <c r="D14" s="89"/>
      <c r="E14" s="133"/>
      <c r="F14" s="133"/>
      <c r="G14" s="136" t="s">
        <v>417</v>
      </c>
      <c r="H14" s="137">
        <f>5/384*(-H11+H12)*$H$5^4/($H$3*$H$4)*1000</f>
        <v>-53.685262534685748</v>
      </c>
      <c r="I14" s="270" t="str">
        <f>IF(H14&gt;=0,"mm (↓)","mm (↑)")</f>
        <v>mm (↑)</v>
      </c>
      <c r="K14" s="133"/>
    </row>
    <row r="15" spans="1:13" ht="19.149999999999999" customHeight="1" x14ac:dyDescent="0.25">
      <c r="A15" s="239"/>
      <c r="B15" s="272"/>
      <c r="C15" s="133"/>
      <c r="D15" s="133"/>
      <c r="E15" s="89"/>
      <c r="F15" s="89"/>
      <c r="G15" s="89"/>
      <c r="H15" s="133"/>
      <c r="I15" s="269"/>
      <c r="J15" s="142"/>
      <c r="K15" s="133"/>
    </row>
    <row r="16" spans="1:13" ht="19.149999999999999" customHeight="1" x14ac:dyDescent="0.25">
      <c r="A16" s="239"/>
      <c r="B16" s="271" t="s">
        <v>429</v>
      </c>
      <c r="C16" s="127" t="s">
        <v>430</v>
      </c>
      <c r="D16" s="128" t="s">
        <v>362</v>
      </c>
      <c r="E16" s="128" t="s">
        <v>431</v>
      </c>
      <c r="F16" s="89"/>
      <c r="G16" s="133"/>
      <c r="H16" s="134"/>
      <c r="I16" s="274"/>
      <c r="J16" s="142"/>
      <c r="K16" s="133"/>
    </row>
    <row r="17" spans="1:13" ht="19.149999999999999" customHeight="1" x14ac:dyDescent="0.25">
      <c r="A17" s="239"/>
      <c r="B17" s="271"/>
      <c r="C17" s="129">
        <f>H14</f>
        <v>-53.685262534685748</v>
      </c>
      <c r="D17" s="130" t="str">
        <f>IF(C17&lt;E17,"&lt;","&gt;")</f>
        <v>&lt;</v>
      </c>
      <c r="E17" s="129">
        <f>H5/300*1000</f>
        <v>133.33333333333334</v>
      </c>
      <c r="F17" s="89"/>
      <c r="G17" s="131" t="s">
        <v>363</v>
      </c>
      <c r="H17" s="132" t="str">
        <f>IF(C17&lt;E17,"[ OK ]","[ NOT OK ]")</f>
        <v>[ OK ]</v>
      </c>
      <c r="I17" s="274"/>
      <c r="J17" s="142"/>
      <c r="K17" s="133"/>
    </row>
    <row r="18" spans="1:13" ht="19.149999999999999" customHeight="1" x14ac:dyDescent="0.25">
      <c r="A18" s="239"/>
      <c r="B18" s="272"/>
      <c r="C18" s="89"/>
      <c r="D18" s="89"/>
      <c r="E18" s="89"/>
      <c r="F18" s="89"/>
      <c r="G18" s="89"/>
      <c r="H18" s="89"/>
      <c r="I18" s="274"/>
      <c r="J18" s="143"/>
      <c r="K18" s="89"/>
    </row>
    <row r="19" spans="1:13" ht="19.149999999999999" customHeight="1" x14ac:dyDescent="0.25">
      <c r="A19" s="239" t="s">
        <v>1326</v>
      </c>
      <c r="B19" s="268" t="s">
        <v>521</v>
      </c>
      <c r="C19" s="133"/>
      <c r="D19" s="133"/>
      <c r="E19" s="133"/>
      <c r="F19" s="133"/>
      <c r="G19" s="133"/>
      <c r="H19" s="133"/>
      <c r="I19" s="269"/>
      <c r="J19" s="141"/>
      <c r="K19" s="135"/>
    </row>
    <row r="20" spans="1:13" ht="19.149999999999999" customHeight="1" x14ac:dyDescent="0.25">
      <c r="A20" s="239"/>
      <c r="B20" s="271" t="s">
        <v>442</v>
      </c>
      <c r="C20" s="133"/>
      <c r="D20" s="133"/>
      <c r="E20" s="133"/>
      <c r="F20" s="133"/>
      <c r="G20" s="136" t="s">
        <v>432</v>
      </c>
      <c r="H20" s="138">
        <f>'Input (3) &amp; Process (4)'!H126</f>
        <v>8901.7660267627289</v>
      </c>
      <c r="I20" s="270" t="s">
        <v>40</v>
      </c>
      <c r="K20" s="135"/>
      <c r="L20" s="144"/>
      <c r="M20" s="135"/>
    </row>
    <row r="21" spans="1:13" ht="19.149999999999999" customHeight="1" x14ac:dyDescent="0.25">
      <c r="A21" s="239"/>
      <c r="B21" s="41" t="s">
        <v>138</v>
      </c>
      <c r="C21" s="133"/>
      <c r="D21" s="133"/>
      <c r="E21" s="133"/>
      <c r="F21" s="133"/>
      <c r="G21" s="136" t="s">
        <v>414</v>
      </c>
      <c r="H21" s="138">
        <f>H9</f>
        <v>0.81195046302450269</v>
      </c>
      <c r="I21" s="270" t="s">
        <v>2</v>
      </c>
      <c r="K21" s="135"/>
      <c r="L21" s="144"/>
      <c r="M21" s="135"/>
    </row>
    <row r="22" spans="1:13" ht="19.149999999999999" customHeight="1" x14ac:dyDescent="0.25">
      <c r="A22" s="239"/>
      <c r="B22" s="271" t="s">
        <v>425</v>
      </c>
      <c r="C22" s="133"/>
      <c r="D22" s="133"/>
      <c r="E22" s="133"/>
      <c r="F22" s="133"/>
      <c r="G22" s="136" t="s">
        <v>146</v>
      </c>
      <c r="H22" s="138">
        <f>H10</f>
        <v>3611.0400000000013</v>
      </c>
      <c r="I22" s="270" t="s">
        <v>411</v>
      </c>
      <c r="K22" s="135"/>
      <c r="L22" s="144"/>
      <c r="M22" s="135"/>
    </row>
    <row r="23" spans="1:13" ht="19.149999999999999" customHeight="1" x14ac:dyDescent="0.25">
      <c r="A23" s="239"/>
      <c r="B23" s="271" t="s">
        <v>427</v>
      </c>
      <c r="C23" s="133"/>
      <c r="D23" s="133"/>
      <c r="E23" s="133"/>
      <c r="F23" s="133"/>
      <c r="G23" s="136" t="s">
        <v>433</v>
      </c>
      <c r="H23" s="138">
        <f>8*H20*H21/$H$5^2</f>
        <v>36.138965235828927</v>
      </c>
      <c r="I23" s="270" t="s">
        <v>39</v>
      </c>
      <c r="K23" s="133"/>
      <c r="L23" s="144"/>
      <c r="M23" s="135"/>
    </row>
    <row r="24" spans="1:13" ht="19.149999999999999" customHeight="1" x14ac:dyDescent="0.25">
      <c r="A24" s="239"/>
      <c r="B24" s="271" t="s">
        <v>426</v>
      </c>
      <c r="C24" s="133"/>
      <c r="D24" s="133"/>
      <c r="E24" s="133"/>
      <c r="F24" s="133"/>
      <c r="G24" s="136" t="s">
        <v>416</v>
      </c>
      <c r="H24" s="138">
        <f>H12</f>
        <v>18.055200000000006</v>
      </c>
      <c r="I24" s="270" t="s">
        <v>39</v>
      </c>
      <c r="K24" s="133"/>
      <c r="L24" s="144"/>
      <c r="M24" s="135"/>
    </row>
    <row r="25" spans="1:13" ht="19.149999999999999" customHeight="1" x14ac:dyDescent="0.25">
      <c r="A25" s="239"/>
      <c r="B25" s="272" t="s">
        <v>428</v>
      </c>
      <c r="C25" s="89"/>
      <c r="D25" s="89"/>
      <c r="E25" s="89"/>
      <c r="F25" s="89"/>
      <c r="G25" s="89"/>
      <c r="H25" s="128"/>
      <c r="I25" s="273"/>
      <c r="K25" s="133"/>
      <c r="L25" s="144"/>
      <c r="M25" s="135"/>
    </row>
    <row r="26" spans="1:13" ht="19.149999999999999" customHeight="1" x14ac:dyDescent="0.25">
      <c r="A26" s="239"/>
      <c r="B26" s="272"/>
      <c r="C26" s="89"/>
      <c r="D26" s="89"/>
      <c r="E26" s="133"/>
      <c r="F26" s="133"/>
      <c r="G26" s="136" t="s">
        <v>419</v>
      </c>
      <c r="H26" s="137">
        <f>5/384*(-H23+H24)*$H$5^4/($H$3*$H$4)*1000</f>
        <v>-43.812392045992681</v>
      </c>
      <c r="I26" s="270" t="str">
        <f>IF(H26&gt;=0,"mm (↓)","mm (↑)")</f>
        <v>mm (↑)</v>
      </c>
      <c r="K26" s="133"/>
    </row>
    <row r="27" spans="1:13" ht="19.149999999999999" customHeight="1" x14ac:dyDescent="0.25">
      <c r="A27" s="239"/>
      <c r="B27" s="272"/>
      <c r="C27" s="133"/>
      <c r="D27" s="133"/>
      <c r="E27" s="89"/>
      <c r="F27" s="89"/>
      <c r="G27" s="89"/>
      <c r="H27" s="133"/>
      <c r="I27" s="269"/>
      <c r="J27" s="142"/>
      <c r="K27" s="133"/>
    </row>
    <row r="28" spans="1:13" ht="19.149999999999999" customHeight="1" x14ac:dyDescent="0.25">
      <c r="A28" s="239"/>
      <c r="B28" s="271" t="s">
        <v>429</v>
      </c>
      <c r="C28" s="127" t="s">
        <v>430</v>
      </c>
      <c r="D28" s="128" t="s">
        <v>362</v>
      </c>
      <c r="E28" s="128" t="s">
        <v>431</v>
      </c>
      <c r="F28" s="89"/>
      <c r="G28" s="133"/>
      <c r="H28" s="134"/>
      <c r="I28" s="274"/>
      <c r="J28" s="142"/>
      <c r="K28" s="133"/>
    </row>
    <row r="29" spans="1:13" ht="19.149999999999999" customHeight="1" x14ac:dyDescent="0.25">
      <c r="A29" s="239"/>
      <c r="B29" s="271"/>
      <c r="C29" s="129">
        <f>H26</f>
        <v>-43.812392045992681</v>
      </c>
      <c r="D29" s="130" t="str">
        <f>IF(C29&lt;E29,"&lt;","&gt;")</f>
        <v>&lt;</v>
      </c>
      <c r="E29" s="129">
        <f>$E$17</f>
        <v>133.33333333333334</v>
      </c>
      <c r="F29" s="89"/>
      <c r="G29" s="131" t="s">
        <v>363</v>
      </c>
      <c r="H29" s="132" t="str">
        <f>IF(C29&lt;E29,"[ OK ]","[ NOT OK ]")</f>
        <v>[ OK ]</v>
      </c>
      <c r="I29" s="274"/>
      <c r="J29" s="142"/>
      <c r="K29" s="133"/>
    </row>
    <row r="30" spans="1:13" ht="19.149999999999999" customHeight="1" x14ac:dyDescent="0.25">
      <c r="A30" s="239"/>
      <c r="B30" s="272"/>
      <c r="C30" s="89"/>
      <c r="D30" s="89"/>
      <c r="E30" s="89"/>
      <c r="F30" s="89"/>
      <c r="G30" s="89"/>
      <c r="H30" s="89"/>
      <c r="I30" s="274"/>
    </row>
    <row r="31" spans="1:13" ht="19.149999999999999" customHeight="1" x14ac:dyDescent="0.25">
      <c r="A31" s="239" t="s">
        <v>1327</v>
      </c>
      <c r="B31" s="268" t="s">
        <v>522</v>
      </c>
      <c r="C31" s="133"/>
      <c r="D31" s="133"/>
      <c r="E31" s="133"/>
      <c r="F31" s="133"/>
      <c r="G31" s="133"/>
      <c r="H31" s="133"/>
      <c r="I31" s="269"/>
      <c r="J31" s="141"/>
      <c r="K31" s="135"/>
    </row>
    <row r="32" spans="1:13" ht="19.149999999999999" customHeight="1" x14ac:dyDescent="0.25">
      <c r="A32" s="239"/>
      <c r="B32" s="271" t="s">
        <v>442</v>
      </c>
      <c r="C32" s="133"/>
      <c r="D32" s="133"/>
      <c r="E32" s="133"/>
      <c r="F32" s="133"/>
      <c r="G32" s="136" t="s">
        <v>432</v>
      </c>
      <c r="H32" s="138">
        <f>H20</f>
        <v>8901.7660267627289</v>
      </c>
      <c r="I32" s="270" t="s">
        <v>40</v>
      </c>
      <c r="K32" s="135"/>
      <c r="L32" s="144"/>
      <c r="M32" s="135"/>
    </row>
    <row r="33" spans="1:13" ht="19.149999999999999" customHeight="1" x14ac:dyDescent="0.25">
      <c r="A33" s="239"/>
      <c r="B33" s="41" t="s">
        <v>138</v>
      </c>
      <c r="C33" s="133"/>
      <c r="D33" s="133"/>
      <c r="E33" s="133"/>
      <c r="F33" s="133"/>
      <c r="G33" s="136" t="s">
        <v>414</v>
      </c>
      <c r="H33" s="138">
        <f>H21</f>
        <v>0.81195046302450269</v>
      </c>
      <c r="I33" s="270" t="s">
        <v>2</v>
      </c>
      <c r="K33" s="135"/>
      <c r="L33" s="144"/>
      <c r="M33" s="135"/>
    </row>
    <row r="34" spans="1:13" ht="19.149999999999999" customHeight="1" x14ac:dyDescent="0.25">
      <c r="A34" s="239"/>
      <c r="B34" s="271" t="s">
        <v>830</v>
      </c>
      <c r="C34" s="133"/>
      <c r="D34" s="133"/>
      <c r="E34" s="133"/>
      <c r="F34" s="133"/>
      <c r="G34" s="136" t="s">
        <v>829</v>
      </c>
      <c r="H34" s="138">
        <f>'Process (5)'!H128+'Process (5)'!H129</f>
        <v>6417.1200000000026</v>
      </c>
      <c r="I34" s="270" t="s">
        <v>411</v>
      </c>
      <c r="K34" s="135"/>
      <c r="L34" s="144"/>
      <c r="M34" s="135"/>
    </row>
    <row r="35" spans="1:13" ht="19.149999999999999" customHeight="1" x14ac:dyDescent="0.25">
      <c r="A35" s="239"/>
      <c r="B35" s="271" t="s">
        <v>427</v>
      </c>
      <c r="C35" s="133"/>
      <c r="D35" s="133"/>
      <c r="E35" s="133"/>
      <c r="F35" s="133"/>
      <c r="G35" s="136" t="s">
        <v>433</v>
      </c>
      <c r="H35" s="138">
        <f>8*H32*H33/$H$5^2</f>
        <v>36.138965235828927</v>
      </c>
      <c r="I35" s="270" t="s">
        <v>39</v>
      </c>
      <c r="K35" s="133"/>
      <c r="L35" s="144"/>
      <c r="M35" s="135"/>
    </row>
    <row r="36" spans="1:13" ht="19.149999999999999" customHeight="1" x14ac:dyDescent="0.25">
      <c r="A36" s="239"/>
      <c r="B36" s="271" t="s">
        <v>426</v>
      </c>
      <c r="C36" s="133"/>
      <c r="D36" s="133"/>
      <c r="E36" s="133"/>
      <c r="F36" s="133"/>
      <c r="G36" s="136" t="s">
        <v>420</v>
      </c>
      <c r="H36" s="138">
        <f>8*H34/$H$5^2</f>
        <v>32.085600000000014</v>
      </c>
      <c r="I36" s="270" t="s">
        <v>39</v>
      </c>
      <c r="K36" s="133"/>
      <c r="L36" s="144"/>
      <c r="M36" s="135"/>
    </row>
    <row r="37" spans="1:13" ht="19.149999999999999" customHeight="1" x14ac:dyDescent="0.25">
      <c r="A37" s="239"/>
      <c r="B37" s="272" t="s">
        <v>428</v>
      </c>
      <c r="C37" s="89"/>
      <c r="D37" s="89"/>
      <c r="E37" s="89"/>
      <c r="F37" s="89"/>
      <c r="G37" s="89"/>
      <c r="H37" s="128"/>
      <c r="I37" s="273"/>
      <c r="K37" s="133"/>
      <c r="L37" s="144"/>
      <c r="M37" s="135"/>
    </row>
    <row r="38" spans="1:13" ht="19.149999999999999" customHeight="1" x14ac:dyDescent="0.25">
      <c r="A38" s="239"/>
      <c r="B38" s="272"/>
      <c r="C38" s="89"/>
      <c r="D38" s="89"/>
      <c r="E38" s="133"/>
      <c r="F38" s="133"/>
      <c r="G38" s="136" t="s">
        <v>421</v>
      </c>
      <c r="H38" s="137">
        <f>5/384*(-H35+H36)*$H$5^4/($H$3*$H$4)*1000</f>
        <v>-9.8202793777638693</v>
      </c>
      <c r="I38" s="270" t="str">
        <f>IF(H38&gt;=0,"mm (↓)","mm (↑)")</f>
        <v>mm (↑)</v>
      </c>
      <c r="K38" s="133"/>
    </row>
    <row r="39" spans="1:13" ht="19.149999999999999" customHeight="1" x14ac:dyDescent="0.25">
      <c r="A39" s="239"/>
      <c r="B39" s="272"/>
      <c r="C39" s="133"/>
      <c r="D39" s="133"/>
      <c r="E39" s="89"/>
      <c r="F39" s="89"/>
      <c r="G39" s="89"/>
      <c r="H39" s="133"/>
      <c r="I39" s="269"/>
      <c r="J39" s="142"/>
      <c r="K39" s="133"/>
    </row>
    <row r="40" spans="1:13" ht="19.149999999999999" customHeight="1" x14ac:dyDescent="0.25">
      <c r="A40" s="239"/>
      <c r="B40" s="271" t="s">
        <v>429</v>
      </c>
      <c r="C40" s="127" t="s">
        <v>430</v>
      </c>
      <c r="D40" s="128" t="s">
        <v>362</v>
      </c>
      <c r="E40" s="128" t="s">
        <v>431</v>
      </c>
      <c r="F40" s="89"/>
      <c r="G40" s="133"/>
      <c r="H40" s="134"/>
      <c r="I40" s="274"/>
      <c r="J40" s="142"/>
      <c r="K40" s="133"/>
    </row>
    <row r="41" spans="1:13" ht="19.149999999999999" customHeight="1" x14ac:dyDescent="0.25">
      <c r="A41" s="239"/>
      <c r="B41" s="271"/>
      <c r="C41" s="129">
        <f>H38</f>
        <v>-9.8202793777638693</v>
      </c>
      <c r="D41" s="130" t="str">
        <f>IF(C41&lt;E41,"&lt;","&gt;")</f>
        <v>&lt;</v>
      </c>
      <c r="E41" s="129">
        <f>$E$17</f>
        <v>133.33333333333334</v>
      </c>
      <c r="F41" s="89"/>
      <c r="G41" s="131" t="s">
        <v>363</v>
      </c>
      <c r="H41" s="132" t="str">
        <f>IF(C41&lt;E41,"[ OK ]","[ NOT OK ]")</f>
        <v>[ OK ]</v>
      </c>
      <c r="I41" s="274"/>
      <c r="J41" s="142"/>
      <c r="K41" s="133"/>
    </row>
    <row r="42" spans="1:13" ht="19.149999999999999" customHeight="1" x14ac:dyDescent="0.25">
      <c r="A42" s="239"/>
      <c r="B42" s="272"/>
      <c r="C42" s="89"/>
      <c r="D42" s="89"/>
      <c r="E42" s="89"/>
      <c r="F42" s="89"/>
      <c r="G42" s="89"/>
      <c r="H42" s="89"/>
      <c r="I42" s="274"/>
    </row>
    <row r="43" spans="1:13" ht="19.149999999999999" customHeight="1" x14ac:dyDescent="0.25">
      <c r="A43" s="239" t="s">
        <v>828</v>
      </c>
      <c r="B43" s="268" t="s">
        <v>523</v>
      </c>
      <c r="C43" s="133"/>
      <c r="D43" s="133"/>
      <c r="E43" s="133"/>
      <c r="F43" s="133"/>
      <c r="G43" s="133"/>
      <c r="H43" s="133"/>
      <c r="I43" s="269"/>
      <c r="J43" s="141"/>
    </row>
    <row r="44" spans="1:13" ht="19.149999999999999" customHeight="1" x14ac:dyDescent="0.25">
      <c r="A44" s="239"/>
      <c r="B44" s="271" t="s">
        <v>443</v>
      </c>
      <c r="C44" s="133"/>
      <c r="D44" s="133"/>
      <c r="E44" s="133"/>
      <c r="F44" s="133"/>
      <c r="G44" s="136" t="s">
        <v>418</v>
      </c>
      <c r="H44" s="138">
        <f>'Input (3) &amp; Process (4)'!H127</f>
        <v>7579.4128750556474</v>
      </c>
      <c r="I44" s="270" t="s">
        <v>40</v>
      </c>
    </row>
    <row r="45" spans="1:13" ht="19.149999999999999" customHeight="1" x14ac:dyDescent="0.25">
      <c r="A45" s="239"/>
      <c r="B45" s="41" t="s">
        <v>436</v>
      </c>
      <c r="C45" s="133"/>
      <c r="D45" s="133"/>
      <c r="E45" s="133"/>
      <c r="F45" s="133"/>
      <c r="G45" s="30" t="s">
        <v>150</v>
      </c>
      <c r="H45" s="138">
        <f>'Process (2)'!H67</f>
        <v>1.0119504630245026</v>
      </c>
      <c r="I45" s="270" t="s">
        <v>2</v>
      </c>
    </row>
    <row r="46" spans="1:13" ht="19.149999999999999" customHeight="1" x14ac:dyDescent="0.25">
      <c r="A46" s="239"/>
      <c r="B46" s="41" t="s">
        <v>435</v>
      </c>
      <c r="C46" s="133"/>
      <c r="D46" s="133"/>
      <c r="E46" s="133"/>
      <c r="F46" s="133"/>
      <c r="G46" s="30" t="s">
        <v>437</v>
      </c>
      <c r="H46" s="138">
        <f>'Process (2)'!H102</f>
        <v>1.3798215330773709</v>
      </c>
      <c r="I46" s="270" t="s">
        <v>2</v>
      </c>
    </row>
    <row r="47" spans="1:13" ht="19.149999999999999" customHeight="1" x14ac:dyDescent="0.25">
      <c r="A47" s="239"/>
      <c r="B47" s="41" t="s">
        <v>115</v>
      </c>
      <c r="C47" s="133"/>
      <c r="D47" s="133"/>
      <c r="E47" s="133"/>
      <c r="F47" s="133"/>
      <c r="G47" s="30" t="s">
        <v>438</v>
      </c>
      <c r="H47" s="138">
        <f>'Process (2)'!H104</f>
        <v>0.75140420751785886</v>
      </c>
      <c r="I47" s="270" t="s">
        <v>128</v>
      </c>
    </row>
    <row r="48" spans="1:13" ht="19.149999999999999" customHeight="1" x14ac:dyDescent="0.25">
      <c r="A48" s="239"/>
      <c r="B48" s="41" t="s">
        <v>434</v>
      </c>
      <c r="C48" s="133"/>
      <c r="D48" s="133"/>
      <c r="E48" s="133"/>
      <c r="F48" s="133"/>
      <c r="G48" s="136" t="s">
        <v>422</v>
      </c>
      <c r="H48" s="138">
        <f>H33+(H46-H45)</f>
        <v>1.1798215330773709</v>
      </c>
      <c r="I48" s="270" t="s">
        <v>2</v>
      </c>
    </row>
    <row r="49" spans="1:12" ht="19.149999999999999" customHeight="1" x14ac:dyDescent="0.25">
      <c r="A49" s="239"/>
      <c r="B49" s="271" t="s">
        <v>830</v>
      </c>
      <c r="C49" s="133"/>
      <c r="D49" s="133"/>
      <c r="E49" s="133"/>
      <c r="F49" s="133"/>
      <c r="G49" s="136" t="s">
        <v>829</v>
      </c>
      <c r="H49" s="138">
        <f>H34</f>
        <v>6417.1200000000026</v>
      </c>
      <c r="I49" s="270" t="s">
        <v>411</v>
      </c>
    </row>
    <row r="50" spans="1:12" ht="19.149999999999999" customHeight="1" x14ac:dyDescent="0.25">
      <c r="A50" s="239"/>
      <c r="B50" s="271" t="s">
        <v>427</v>
      </c>
      <c r="C50" s="133"/>
      <c r="D50" s="133"/>
      <c r="E50" s="133"/>
      <c r="F50" s="133"/>
      <c r="G50" s="441" t="s">
        <v>1168</v>
      </c>
      <c r="H50" s="138">
        <f>8*(H32-H44)*H48/$H$5^2</f>
        <v>7.8007036135837104</v>
      </c>
      <c r="I50" s="270" t="s">
        <v>39</v>
      </c>
    </row>
    <row r="51" spans="1:12" ht="19.149999999999999" customHeight="1" x14ac:dyDescent="0.25">
      <c r="A51" s="239"/>
      <c r="B51" s="271" t="s">
        <v>426</v>
      </c>
      <c r="C51" s="133"/>
      <c r="D51" s="133"/>
      <c r="E51" s="133"/>
      <c r="F51" s="133"/>
      <c r="G51" s="136" t="s">
        <v>420</v>
      </c>
      <c r="H51" s="138">
        <f>8*H49/$H$5^2</f>
        <v>32.085600000000014</v>
      </c>
      <c r="I51" s="270" t="s">
        <v>39</v>
      </c>
    </row>
    <row r="52" spans="1:12" ht="19.149999999999999" customHeight="1" x14ac:dyDescent="0.25">
      <c r="A52" s="239"/>
      <c r="B52" s="272" t="s">
        <v>428</v>
      </c>
      <c r="C52" s="89"/>
      <c r="D52" s="89"/>
      <c r="E52" s="89"/>
      <c r="F52" s="89"/>
      <c r="G52" s="89"/>
      <c r="H52" s="128"/>
      <c r="I52" s="273"/>
    </row>
    <row r="53" spans="1:12" ht="19.149999999999999" customHeight="1" x14ac:dyDescent="0.25">
      <c r="A53" s="239"/>
      <c r="B53" s="272"/>
      <c r="C53" s="89"/>
      <c r="D53" s="89"/>
      <c r="E53" s="133"/>
      <c r="F53" s="133"/>
      <c r="G53" s="441" t="s">
        <v>1169</v>
      </c>
      <c r="H53" s="137">
        <f>C41+5/384*(-H50+H51)*$H$5^4/($H$3*H47)*1000</f>
        <v>22.595652980867989</v>
      </c>
      <c r="I53" s="270" t="str">
        <f>IF(H53&gt;=0,"mm (↓)","mm (↑)")</f>
        <v>mm (↓)</v>
      </c>
    </row>
    <row r="54" spans="1:12" ht="19.149999999999999" customHeight="1" x14ac:dyDescent="0.25">
      <c r="A54" s="239"/>
      <c r="B54" s="272"/>
      <c r="C54" s="133"/>
      <c r="D54" s="133"/>
      <c r="E54" s="89"/>
      <c r="F54" s="89"/>
      <c r="G54" s="89"/>
      <c r="H54" s="133"/>
      <c r="I54" s="269"/>
      <c r="J54" s="142"/>
    </row>
    <row r="55" spans="1:12" ht="19.149999999999999" customHeight="1" x14ac:dyDescent="0.25">
      <c r="A55" s="239"/>
      <c r="B55" s="271" t="s">
        <v>429</v>
      </c>
      <c r="C55" s="127" t="s">
        <v>430</v>
      </c>
      <c r="D55" s="128" t="s">
        <v>362</v>
      </c>
      <c r="E55" s="128" t="s">
        <v>431</v>
      </c>
      <c r="F55" s="89"/>
      <c r="G55" s="133"/>
      <c r="H55" s="134"/>
      <c r="I55" s="274"/>
      <c r="J55" s="142"/>
    </row>
    <row r="56" spans="1:12" ht="19.149999999999999" customHeight="1" x14ac:dyDescent="0.25">
      <c r="A56" s="239"/>
      <c r="B56" s="271"/>
      <c r="C56" s="129">
        <f>H53</f>
        <v>22.595652980867989</v>
      </c>
      <c r="D56" s="130" t="str">
        <f>IF(C56&lt;E56,"&lt;","&gt;")</f>
        <v>&lt;</v>
      </c>
      <c r="E56" s="129">
        <f>$E$17</f>
        <v>133.33333333333334</v>
      </c>
      <c r="F56" s="89"/>
      <c r="G56" s="131" t="s">
        <v>363</v>
      </c>
      <c r="H56" s="132" t="str">
        <f>IF(C56&lt;E56,"[ OK ]","[ NOT OK ]")</f>
        <v>[ OK ]</v>
      </c>
      <c r="I56" s="274"/>
      <c r="J56" s="142"/>
    </row>
    <row r="57" spans="1:12" ht="19.149999999999999" customHeight="1" x14ac:dyDescent="0.25">
      <c r="A57" s="239"/>
      <c r="B57" s="272"/>
      <c r="C57" s="89"/>
      <c r="D57" s="89"/>
      <c r="E57" s="89"/>
      <c r="F57" s="89"/>
      <c r="G57" s="89"/>
      <c r="H57" s="89"/>
      <c r="I57" s="274"/>
    </row>
    <row r="58" spans="1:12" ht="19.149999999999999" customHeight="1" x14ac:dyDescent="0.25">
      <c r="A58" s="239" t="s">
        <v>863</v>
      </c>
      <c r="B58" s="268" t="s">
        <v>833</v>
      </c>
      <c r="C58" s="89"/>
      <c r="D58" s="89"/>
      <c r="E58" s="89"/>
      <c r="F58" s="89"/>
      <c r="G58" s="89"/>
      <c r="H58" s="89"/>
      <c r="I58" s="274"/>
    </row>
    <row r="59" spans="1:12" ht="19.149999999999999" customHeight="1" x14ac:dyDescent="0.25">
      <c r="A59" s="239"/>
      <c r="B59" s="41" t="s">
        <v>423</v>
      </c>
      <c r="C59" s="133"/>
      <c r="D59" s="89"/>
      <c r="E59" s="89"/>
      <c r="F59" s="89"/>
      <c r="G59" s="136" t="s">
        <v>412</v>
      </c>
      <c r="H59" s="137">
        <f>H3</f>
        <v>33234018.715767734</v>
      </c>
      <c r="I59" s="270" t="s">
        <v>135</v>
      </c>
      <c r="K59" s="135"/>
      <c r="L59" s="144"/>
    </row>
    <row r="60" spans="1:12" ht="19.149999999999999" customHeight="1" x14ac:dyDescent="0.25">
      <c r="A60" s="239"/>
      <c r="B60" s="41" t="s">
        <v>115</v>
      </c>
      <c r="C60" s="133"/>
      <c r="D60" s="89"/>
      <c r="E60" s="89"/>
      <c r="F60" s="89"/>
      <c r="G60" s="136" t="s">
        <v>408</v>
      </c>
      <c r="H60" s="138">
        <f>H47</f>
        <v>0.75140420751785886</v>
      </c>
      <c r="I60" s="270" t="s">
        <v>128</v>
      </c>
      <c r="K60" s="135"/>
      <c r="L60" s="144"/>
    </row>
    <row r="61" spans="1:12" ht="19.149999999999999" customHeight="1" x14ac:dyDescent="0.25">
      <c r="A61" s="239"/>
      <c r="B61" s="41" t="s">
        <v>20</v>
      </c>
      <c r="C61" s="133"/>
      <c r="D61" s="89"/>
      <c r="E61" s="89"/>
      <c r="F61" s="89"/>
      <c r="G61" s="136" t="s">
        <v>21</v>
      </c>
      <c r="H61" s="137">
        <f>H5</f>
        <v>40</v>
      </c>
      <c r="I61" s="270" t="s">
        <v>128</v>
      </c>
      <c r="K61" s="135"/>
      <c r="L61" s="144"/>
    </row>
    <row r="62" spans="1:12" ht="19.149999999999999" customHeight="1" x14ac:dyDescent="0.25">
      <c r="A62" s="239"/>
      <c r="B62" s="271" t="s">
        <v>443</v>
      </c>
      <c r="C62" s="133"/>
      <c r="D62" s="89"/>
      <c r="E62" s="89"/>
      <c r="F62" s="89"/>
      <c r="G62" s="136" t="s">
        <v>418</v>
      </c>
      <c r="H62" s="138">
        <f>H44</f>
        <v>7579.4128750556474</v>
      </c>
      <c r="I62" s="270" t="s">
        <v>40</v>
      </c>
      <c r="K62" s="135"/>
      <c r="L62" s="144"/>
    </row>
    <row r="63" spans="1:12" ht="19.149999999999999" customHeight="1" x14ac:dyDescent="0.25">
      <c r="A63" s="239"/>
      <c r="B63" s="41" t="s">
        <v>434</v>
      </c>
      <c r="C63" s="133"/>
      <c r="D63" s="89"/>
      <c r="E63" s="89"/>
      <c r="F63" s="89"/>
      <c r="G63" s="136" t="s">
        <v>439</v>
      </c>
      <c r="H63" s="138">
        <f>H48</f>
        <v>1.1798215330773709</v>
      </c>
      <c r="I63" s="270" t="s">
        <v>2</v>
      </c>
      <c r="K63" s="135"/>
      <c r="L63" s="144"/>
    </row>
    <row r="64" spans="1:12" ht="19.149999999999999" customHeight="1" x14ac:dyDescent="0.25">
      <c r="A64" s="239"/>
      <c r="B64" s="272"/>
      <c r="C64" s="89"/>
      <c r="D64" s="89"/>
      <c r="E64" s="89"/>
      <c r="F64" s="89"/>
      <c r="G64" s="89"/>
      <c r="H64" s="128"/>
      <c r="I64" s="273"/>
    </row>
    <row r="65" spans="1:13" ht="19.149999999999999" customHeight="1" x14ac:dyDescent="0.25">
      <c r="A65" s="239" t="s">
        <v>1328</v>
      </c>
      <c r="B65" s="268" t="s">
        <v>524</v>
      </c>
      <c r="C65" s="133"/>
      <c r="D65" s="133"/>
      <c r="E65" s="133"/>
      <c r="F65" s="133"/>
      <c r="G65" s="133"/>
      <c r="H65" s="134"/>
      <c r="I65" s="270"/>
      <c r="K65" s="135"/>
      <c r="L65" s="144"/>
    </row>
    <row r="66" spans="1:13" ht="19.149999999999999" customHeight="1" x14ac:dyDescent="0.25">
      <c r="A66" s="239"/>
      <c r="B66" s="271" t="s">
        <v>445</v>
      </c>
      <c r="C66" s="133"/>
      <c r="D66" s="133"/>
      <c r="E66" s="133"/>
      <c r="F66" s="133"/>
      <c r="G66" s="136" t="s">
        <v>448</v>
      </c>
      <c r="H66" s="138">
        <f>4394.0501+73.6395</f>
        <v>4467.6896000000006</v>
      </c>
      <c r="I66" s="270" t="s">
        <v>42</v>
      </c>
      <c r="K66" s="135"/>
      <c r="L66" s="144"/>
    </row>
    <row r="67" spans="1:13" ht="19.149999999999999" customHeight="1" x14ac:dyDescent="0.25">
      <c r="A67" s="239"/>
      <c r="B67" s="271" t="s">
        <v>830</v>
      </c>
      <c r="C67" s="133"/>
      <c r="D67" s="133"/>
      <c r="E67" s="133"/>
      <c r="F67" s="133"/>
      <c r="G67" s="136" t="s">
        <v>448</v>
      </c>
      <c r="H67" s="138">
        <f>H49</f>
        <v>6417.1200000000026</v>
      </c>
      <c r="I67" s="270" t="s">
        <v>42</v>
      </c>
      <c r="K67" s="135"/>
      <c r="L67" s="144"/>
    </row>
    <row r="68" spans="1:13" ht="19.149999999999999" customHeight="1" x14ac:dyDescent="0.25">
      <c r="A68" s="239"/>
      <c r="B68" s="268"/>
      <c r="C68" s="133"/>
      <c r="D68" s="133"/>
      <c r="E68" s="133"/>
      <c r="F68" s="133"/>
      <c r="G68" s="136" t="s">
        <v>448</v>
      </c>
      <c r="H68" s="138">
        <f>MAX(H66:H67)</f>
        <v>6417.1200000000026</v>
      </c>
      <c r="I68" s="270" t="s">
        <v>42</v>
      </c>
      <c r="K68" s="135"/>
      <c r="L68" s="144"/>
    </row>
    <row r="69" spans="1:13" ht="19.149999999999999" customHeight="1" x14ac:dyDescent="0.25">
      <c r="A69" s="239"/>
      <c r="B69" s="272" t="s">
        <v>446</v>
      </c>
      <c r="C69" s="133"/>
      <c r="D69" s="133"/>
      <c r="E69" s="133"/>
      <c r="F69" s="133"/>
      <c r="G69" s="136" t="s">
        <v>472</v>
      </c>
      <c r="H69" s="137">
        <f>5/48*H68*$H$61^2/($H$59*$H$60)*1000</f>
        <v>42.828456944452412</v>
      </c>
      <c r="I69" s="270" t="str">
        <f>IF(H69&gt;=0,"mm (↓)","mm (↑)")</f>
        <v>mm (↓)</v>
      </c>
      <c r="K69" s="135"/>
      <c r="L69" s="144"/>
    </row>
    <row r="70" spans="1:13" ht="19.149999999999999" customHeight="1" x14ac:dyDescent="0.25">
      <c r="A70" s="239"/>
      <c r="B70" s="272"/>
      <c r="C70" s="89"/>
      <c r="D70" s="89"/>
      <c r="E70" s="89"/>
      <c r="F70" s="89"/>
      <c r="G70" s="89"/>
      <c r="H70" s="128"/>
      <c r="I70" s="273"/>
    </row>
    <row r="71" spans="1:13" ht="19.149999999999999" customHeight="1" x14ac:dyDescent="0.25">
      <c r="A71" s="239" t="s">
        <v>1329</v>
      </c>
      <c r="B71" s="268" t="s">
        <v>525</v>
      </c>
      <c r="C71" s="133"/>
      <c r="D71" s="133"/>
      <c r="E71" s="133"/>
      <c r="F71" s="133"/>
      <c r="G71" s="133"/>
      <c r="H71" s="134"/>
      <c r="I71" s="270"/>
      <c r="K71" s="135"/>
      <c r="L71" s="144"/>
    </row>
    <row r="72" spans="1:13" ht="19.149999999999999" customHeight="1" x14ac:dyDescent="0.25">
      <c r="A72" s="239"/>
      <c r="B72" s="271" t="s">
        <v>447</v>
      </c>
      <c r="C72" s="133"/>
      <c r="D72" s="133"/>
      <c r="E72" s="133"/>
      <c r="F72" s="133"/>
      <c r="G72" s="136" t="s">
        <v>449</v>
      </c>
      <c r="H72" s="139">
        <v>922.42470000000003</v>
      </c>
      <c r="I72" s="270" t="s">
        <v>42</v>
      </c>
      <c r="K72" s="135"/>
      <c r="L72" s="144"/>
    </row>
    <row r="73" spans="1:13" ht="19.149999999999999" customHeight="1" x14ac:dyDescent="0.25">
      <c r="A73" s="239"/>
      <c r="B73" s="272" t="s">
        <v>453</v>
      </c>
      <c r="C73" s="133"/>
      <c r="D73" s="133"/>
      <c r="E73" s="133"/>
      <c r="F73" s="133"/>
      <c r="G73" s="136" t="s">
        <v>471</v>
      </c>
      <c r="H73" s="137">
        <f>5/48*H72*$H$61^2/($H$59*$H$60)*1000</f>
        <v>6.1563484161819355</v>
      </c>
      <c r="I73" s="270" t="str">
        <f>IF(H73&gt;=0,"mm (↓)","mm (↑)")</f>
        <v>mm (↓)</v>
      </c>
      <c r="K73" s="135"/>
      <c r="L73" s="144"/>
    </row>
    <row r="74" spans="1:13" ht="19.149999999999999" customHeight="1" x14ac:dyDescent="0.25">
      <c r="A74" s="239"/>
      <c r="B74" s="272"/>
      <c r="C74" s="89"/>
      <c r="D74" s="89"/>
      <c r="E74" s="89"/>
      <c r="F74" s="89"/>
      <c r="G74" s="89"/>
      <c r="H74" s="128"/>
      <c r="I74" s="273"/>
    </row>
    <row r="75" spans="1:13" ht="19.149999999999999" customHeight="1" x14ac:dyDescent="0.25">
      <c r="A75" s="239" t="s">
        <v>1330</v>
      </c>
      <c r="B75" s="268" t="s">
        <v>526</v>
      </c>
      <c r="C75" s="133"/>
      <c r="D75" s="133"/>
      <c r="E75" s="133"/>
      <c r="F75" s="133"/>
      <c r="G75" s="133"/>
      <c r="H75" s="134"/>
      <c r="I75" s="270"/>
      <c r="K75" s="135"/>
      <c r="L75" s="144"/>
      <c r="M75" s="135"/>
    </row>
    <row r="76" spans="1:13" ht="19.149999999999999" customHeight="1" x14ac:dyDescent="0.25">
      <c r="A76" s="239"/>
      <c r="B76" s="271" t="s">
        <v>450</v>
      </c>
      <c r="C76" s="133"/>
      <c r="D76" s="133"/>
      <c r="E76" s="133"/>
      <c r="F76" s="133"/>
      <c r="G76" s="136" t="s">
        <v>831</v>
      </c>
      <c r="H76" s="139">
        <f>'Input (2) &amp; Process (1)'!H168</f>
        <v>6154.1077933553097</v>
      </c>
      <c r="I76" s="270" t="s">
        <v>42</v>
      </c>
      <c r="K76" s="135"/>
      <c r="L76" s="144"/>
    </row>
    <row r="77" spans="1:13" ht="19.149999999999999" customHeight="1" x14ac:dyDescent="0.25">
      <c r="A77" s="239"/>
      <c r="B77" s="272" t="s">
        <v>452</v>
      </c>
      <c r="C77" s="133"/>
      <c r="D77" s="133"/>
      <c r="E77" s="133"/>
      <c r="F77" s="133"/>
      <c r="G77" s="136" t="s">
        <v>470</v>
      </c>
      <c r="H77" s="137">
        <f>5/48*(-H76)*$H$61^2/($H$59*$H$60)*1000</f>
        <v>-41.073088965024318</v>
      </c>
      <c r="I77" s="270" t="str">
        <f>IF(H77&gt;=0,"mm (↓)","mm (↑)")</f>
        <v>mm (↑)</v>
      </c>
      <c r="K77" s="135"/>
      <c r="L77" s="144"/>
    </row>
    <row r="78" spans="1:13" ht="19.149999999999999" customHeight="1" x14ac:dyDescent="0.25">
      <c r="A78" s="239"/>
      <c r="B78" s="272"/>
      <c r="C78" s="89"/>
      <c r="D78" s="89"/>
      <c r="E78" s="89"/>
      <c r="F78" s="89"/>
      <c r="G78" s="89"/>
      <c r="H78" s="89"/>
      <c r="I78" s="274"/>
      <c r="J78" s="143"/>
    </row>
    <row r="79" spans="1:13" ht="19.149999999999999" customHeight="1" x14ac:dyDescent="0.25">
      <c r="A79" s="239" t="s">
        <v>1331</v>
      </c>
      <c r="B79" s="268" t="s">
        <v>527</v>
      </c>
      <c r="C79" s="133"/>
      <c r="D79" s="133"/>
      <c r="E79" s="133"/>
      <c r="F79" s="133"/>
      <c r="G79" s="133"/>
      <c r="H79" s="133"/>
      <c r="I79" s="269"/>
      <c r="J79" s="142"/>
      <c r="K79" s="135"/>
      <c r="L79" s="144"/>
    </row>
    <row r="80" spans="1:13" ht="19.149999999999999" customHeight="1" x14ac:dyDescent="0.25">
      <c r="A80" s="239"/>
      <c r="B80" s="271" t="s">
        <v>451</v>
      </c>
      <c r="C80" s="133"/>
      <c r="D80" s="133"/>
      <c r="E80" s="133"/>
      <c r="F80" s="133"/>
      <c r="G80" s="136" t="s">
        <v>456</v>
      </c>
      <c r="H80" s="137">
        <f>'Input (2) &amp; Process (1)'!H82</f>
        <v>2875.4180000000001</v>
      </c>
      <c r="I80" s="270" t="s">
        <v>42</v>
      </c>
      <c r="K80" s="135"/>
      <c r="L80" s="144"/>
    </row>
    <row r="81" spans="1:12" ht="19.149999999999999" customHeight="1" x14ac:dyDescent="0.25">
      <c r="A81" s="239"/>
      <c r="B81" s="272" t="s">
        <v>454</v>
      </c>
      <c r="C81" s="133"/>
      <c r="D81" s="133"/>
      <c r="E81" s="133"/>
      <c r="F81" s="133"/>
      <c r="G81" s="136" t="s">
        <v>469</v>
      </c>
      <c r="H81" s="137">
        <f>5/48*H80*$H$61^2/($H$59*$H$60)*1000</f>
        <v>19.19080771596969</v>
      </c>
      <c r="I81" s="270" t="str">
        <f>IF(H81&gt;=0,"mm (↓)","mm (↑)")</f>
        <v>mm (↓)</v>
      </c>
      <c r="K81" s="135"/>
      <c r="L81" s="144"/>
    </row>
    <row r="82" spans="1:12" ht="19.149999999999999" customHeight="1" x14ac:dyDescent="0.25">
      <c r="A82" s="239"/>
      <c r="B82" s="272"/>
      <c r="C82" s="89"/>
      <c r="D82" s="89"/>
      <c r="E82" s="89"/>
      <c r="F82" s="89"/>
      <c r="G82" s="89"/>
      <c r="H82" s="128"/>
      <c r="I82" s="273"/>
    </row>
    <row r="83" spans="1:12" ht="19.149999999999999" customHeight="1" x14ac:dyDescent="0.25">
      <c r="A83" s="239" t="s">
        <v>1332</v>
      </c>
      <c r="B83" s="268" t="s">
        <v>528</v>
      </c>
      <c r="C83" s="133"/>
      <c r="D83" s="133"/>
      <c r="E83" s="133"/>
      <c r="F83" s="133"/>
      <c r="G83" s="133"/>
      <c r="H83" s="134"/>
      <c r="I83" s="270"/>
      <c r="K83" s="135"/>
      <c r="L83" s="144"/>
    </row>
    <row r="84" spans="1:12" ht="19.149999999999999" customHeight="1" x14ac:dyDescent="0.25">
      <c r="A84" s="239"/>
      <c r="B84" s="271" t="s">
        <v>455</v>
      </c>
      <c r="C84" s="133"/>
      <c r="D84" s="133"/>
      <c r="E84" s="133"/>
      <c r="F84" s="133"/>
      <c r="G84" s="136" t="s">
        <v>444</v>
      </c>
      <c r="H84" s="137">
        <f>'Input (2) &amp; Process (1)'!H64</f>
        <v>4182.8500000000004</v>
      </c>
      <c r="I84" s="270" t="s">
        <v>42</v>
      </c>
      <c r="K84" s="135"/>
      <c r="L84" s="144"/>
    </row>
    <row r="85" spans="1:12" ht="19.149999999999999" customHeight="1" x14ac:dyDescent="0.25">
      <c r="A85" s="239"/>
      <c r="B85" s="272" t="s">
        <v>457</v>
      </c>
      <c r="C85" s="133"/>
      <c r="D85" s="133"/>
      <c r="E85" s="133"/>
      <c r="F85" s="133"/>
      <c r="G85" s="136" t="s">
        <v>468</v>
      </c>
      <c r="H85" s="137">
        <f>5/48*H84*$H$61^2/($H$59*$H$60)*1000</f>
        <v>27.916730734364126</v>
      </c>
      <c r="I85" s="270" t="str">
        <f>IF(H85&gt;=0,"mm (↓)","mm (↑)")</f>
        <v>mm (↓)</v>
      </c>
      <c r="K85" s="135"/>
      <c r="L85" s="144"/>
    </row>
    <row r="86" spans="1:12" ht="19.149999999999999" customHeight="1" x14ac:dyDescent="0.25">
      <c r="A86" s="239"/>
      <c r="B86" s="272"/>
      <c r="C86" s="89"/>
      <c r="D86" s="89"/>
      <c r="E86" s="89"/>
      <c r="F86" s="89"/>
      <c r="G86" s="89"/>
      <c r="H86" s="128"/>
      <c r="I86" s="273"/>
    </row>
    <row r="87" spans="1:12" ht="19.149999999999999" customHeight="1" x14ac:dyDescent="0.25">
      <c r="A87" s="239" t="s">
        <v>1333</v>
      </c>
      <c r="B87" s="268" t="s">
        <v>529</v>
      </c>
      <c r="C87" s="133"/>
      <c r="D87" s="133"/>
      <c r="E87" s="133"/>
      <c r="F87" s="133"/>
      <c r="G87" s="133"/>
      <c r="H87" s="134"/>
      <c r="I87" s="270"/>
      <c r="K87" s="135"/>
      <c r="L87" s="144"/>
    </row>
    <row r="88" spans="1:12" ht="19.149999999999999" customHeight="1" x14ac:dyDescent="0.25">
      <c r="A88" s="239"/>
      <c r="B88" s="271" t="s">
        <v>458</v>
      </c>
      <c r="C88" s="133"/>
      <c r="D88" s="133"/>
      <c r="E88" s="133"/>
      <c r="F88" s="133"/>
      <c r="G88" s="136" t="s">
        <v>441</v>
      </c>
      <c r="H88" s="137">
        <f>'Input (2) &amp; Process (1)'!H104</f>
        <v>67.811554004130784</v>
      </c>
      <c r="I88" s="270" t="s">
        <v>42</v>
      </c>
      <c r="K88" s="135"/>
      <c r="L88" s="144"/>
    </row>
    <row r="89" spans="1:12" ht="19.149999999999999" customHeight="1" x14ac:dyDescent="0.25">
      <c r="A89" s="239"/>
      <c r="B89" s="272" t="s">
        <v>459</v>
      </c>
      <c r="C89" s="133"/>
      <c r="D89" s="133"/>
      <c r="E89" s="133"/>
      <c r="F89" s="133"/>
      <c r="G89" s="136" t="s">
        <v>467</v>
      </c>
      <c r="H89" s="137">
        <f>5/48*(-H88)*$H$61^2/($H$59*$H$60)*1000</f>
        <v>-0.45258063134277121</v>
      </c>
      <c r="I89" s="270" t="str">
        <f>IF(H89&gt;=0,"mm (↓)","mm (↑)")</f>
        <v>mm (↑)</v>
      </c>
      <c r="K89" s="135"/>
      <c r="L89" s="144"/>
    </row>
    <row r="90" spans="1:12" ht="19.149999999999999" customHeight="1" x14ac:dyDescent="0.25">
      <c r="A90" s="239"/>
      <c r="B90" s="272"/>
      <c r="C90" s="89"/>
      <c r="D90" s="89"/>
      <c r="E90" s="89"/>
      <c r="F90" s="89"/>
      <c r="G90" s="89"/>
      <c r="H90" s="128"/>
      <c r="I90" s="273"/>
    </row>
    <row r="91" spans="1:12" ht="19.149999999999999" customHeight="1" x14ac:dyDescent="0.25">
      <c r="A91" s="239" t="s">
        <v>1334</v>
      </c>
      <c r="B91" s="268" t="s">
        <v>530</v>
      </c>
      <c r="C91" s="133"/>
      <c r="D91" s="133"/>
      <c r="E91" s="133"/>
      <c r="F91" s="133"/>
      <c r="G91" s="133"/>
      <c r="H91" s="134"/>
      <c r="I91" s="270"/>
      <c r="K91" s="135"/>
      <c r="L91" s="144"/>
    </row>
    <row r="92" spans="1:12" ht="19.149999999999999" customHeight="1" x14ac:dyDescent="0.25">
      <c r="A92" s="239"/>
      <c r="B92" s="271" t="s">
        <v>460</v>
      </c>
      <c r="C92" s="133"/>
      <c r="D92" s="133"/>
      <c r="E92" s="133"/>
      <c r="F92" s="133"/>
      <c r="G92" s="136" t="s">
        <v>463</v>
      </c>
      <c r="H92" s="138">
        <f>'Input (2) &amp; Process (1)'!H113</f>
        <v>150.17142857142858</v>
      </c>
      <c r="I92" s="270" t="s">
        <v>42</v>
      </c>
      <c r="K92" s="135"/>
      <c r="L92" s="144"/>
    </row>
    <row r="93" spans="1:12" ht="19.149999999999999" customHeight="1" x14ac:dyDescent="0.25">
      <c r="A93" s="239"/>
      <c r="B93" s="271" t="s">
        <v>461</v>
      </c>
      <c r="C93" s="133"/>
      <c r="D93" s="133"/>
      <c r="E93" s="133"/>
      <c r="F93" s="133"/>
      <c r="G93" s="136" t="s">
        <v>464</v>
      </c>
      <c r="H93" s="138">
        <f>'Input (2) &amp; Process (1)'!H128</f>
        <v>910.97692624888373</v>
      </c>
      <c r="I93" s="270" t="s">
        <v>42</v>
      </c>
      <c r="K93" s="135"/>
      <c r="L93" s="144"/>
    </row>
    <row r="94" spans="1:12" ht="19.149999999999999" customHeight="1" x14ac:dyDescent="0.25">
      <c r="A94" s="239"/>
      <c r="B94" s="272" t="s">
        <v>462</v>
      </c>
      <c r="C94" s="133"/>
      <c r="D94" s="133"/>
      <c r="E94" s="133"/>
      <c r="F94" s="133"/>
      <c r="G94" s="136" t="s">
        <v>466</v>
      </c>
      <c r="H94" s="137">
        <f>5/48*(H93+H92)*$H$61^2/($H$59*$H$60)*1000</f>
        <v>7.0822030172566874</v>
      </c>
      <c r="I94" s="270" t="str">
        <f>IF(H94&gt;=0,"mm (↓)","mm (↑)")</f>
        <v>mm (↓)</v>
      </c>
      <c r="K94" s="135"/>
      <c r="L94" s="144"/>
    </row>
    <row r="95" spans="1:12" ht="19.149999999999999" customHeight="1" x14ac:dyDescent="0.25">
      <c r="A95" s="239"/>
      <c r="B95" s="272"/>
      <c r="C95" s="89"/>
      <c r="D95" s="89"/>
      <c r="E95" s="89"/>
      <c r="F95" s="89"/>
      <c r="G95" s="89"/>
      <c r="H95" s="89"/>
      <c r="I95" s="274"/>
      <c r="J95" s="143"/>
    </row>
    <row r="96" spans="1:12" ht="19.149999999999999" customHeight="1" x14ac:dyDescent="0.25">
      <c r="A96" s="239" t="s">
        <v>864</v>
      </c>
      <c r="B96" s="268" t="s">
        <v>531</v>
      </c>
      <c r="C96" s="89"/>
      <c r="D96" s="89"/>
      <c r="E96" s="89"/>
      <c r="F96" s="89"/>
      <c r="G96" s="89"/>
      <c r="H96" s="89"/>
      <c r="I96" s="274"/>
    </row>
    <row r="97" spans="1:10" ht="19.149999999999999" customHeight="1" x14ac:dyDescent="0.25">
      <c r="A97" s="239"/>
      <c r="B97" s="272" t="s">
        <v>465</v>
      </c>
      <c r="C97" s="89"/>
      <c r="D97" s="89"/>
      <c r="E97" s="89"/>
      <c r="F97" s="89"/>
      <c r="G97" s="136" t="s">
        <v>832</v>
      </c>
      <c r="H97" s="140">
        <f>(H69+H73+H77+MAX(H81,H85)+H89+H94)</f>
        <v>42.45806951588807</v>
      </c>
      <c r="I97" s="273" t="s">
        <v>5</v>
      </c>
    </row>
    <row r="98" spans="1:10" ht="19.149999999999999" customHeight="1" x14ac:dyDescent="0.25">
      <c r="A98" s="239"/>
      <c r="B98" s="271" t="s">
        <v>429</v>
      </c>
      <c r="C98" s="127" t="s">
        <v>430</v>
      </c>
      <c r="D98" s="128" t="s">
        <v>362</v>
      </c>
      <c r="E98" s="128" t="s">
        <v>431</v>
      </c>
      <c r="F98" s="89"/>
      <c r="G98" s="133"/>
      <c r="H98" s="134"/>
      <c r="I98" s="270"/>
      <c r="J98" s="8"/>
    </row>
    <row r="99" spans="1:10" ht="19.149999999999999" customHeight="1" x14ac:dyDescent="0.25">
      <c r="A99" s="239"/>
      <c r="B99" s="271"/>
      <c r="C99" s="137">
        <f>H97</f>
        <v>42.45806951588807</v>
      </c>
      <c r="D99" s="130" t="str">
        <f>IF(C99&lt;E99,"&lt;","&gt;")</f>
        <v>&lt;</v>
      </c>
      <c r="E99" s="137">
        <f>$E$17</f>
        <v>133.33333333333334</v>
      </c>
      <c r="F99" s="89"/>
      <c r="G99" s="131" t="s">
        <v>363</v>
      </c>
      <c r="H99" s="132" t="str">
        <f>IF(C99&lt;E99,"[ OK ]","[ NOT OK ]")</f>
        <v>[ OK ]</v>
      </c>
      <c r="I99" s="270"/>
      <c r="J99" s="8"/>
    </row>
    <row r="100" spans="1:10" ht="19.149999999999999" customHeight="1" x14ac:dyDescent="0.25">
      <c r="A100" s="239"/>
      <c r="B100" s="272"/>
      <c r="C100" s="89"/>
      <c r="D100" s="89"/>
      <c r="E100" s="89"/>
      <c r="F100" s="89"/>
      <c r="G100" s="89"/>
      <c r="H100" s="128"/>
      <c r="I100" s="273"/>
    </row>
    <row r="101" spans="1:10" ht="19.149999999999999" customHeight="1" x14ac:dyDescent="0.25">
      <c r="A101" s="239"/>
      <c r="B101" s="272" t="s">
        <v>473</v>
      </c>
      <c r="C101" s="89"/>
      <c r="D101" s="89"/>
      <c r="E101" s="89"/>
      <c r="F101" s="89"/>
      <c r="G101" s="89" t="s">
        <v>474</v>
      </c>
      <c r="H101" s="25">
        <f>5/48*'Input (2) &amp; Process (1)'!H177*H5^2/(H59*H60)*1000</f>
        <v>39.59364588754714</v>
      </c>
      <c r="I101" s="273" t="s">
        <v>5</v>
      </c>
      <c r="J101" s="8"/>
    </row>
    <row r="102" spans="1:10" ht="19.149999999999999" customHeight="1" x14ac:dyDescent="0.25">
      <c r="A102" s="239"/>
      <c r="B102" s="271" t="s">
        <v>429</v>
      </c>
      <c r="C102" s="127" t="s">
        <v>430</v>
      </c>
      <c r="D102" s="128" t="s">
        <v>362</v>
      </c>
      <c r="E102" s="128" t="s">
        <v>431</v>
      </c>
      <c r="F102" s="89"/>
      <c r="G102" s="133"/>
      <c r="H102" s="134"/>
      <c r="I102" s="273"/>
      <c r="J102" s="8"/>
    </row>
    <row r="103" spans="1:10" ht="19.149999999999999" customHeight="1" x14ac:dyDescent="0.25">
      <c r="A103" s="239"/>
      <c r="B103" s="271"/>
      <c r="C103" s="137">
        <f>H101</f>
        <v>39.59364588754714</v>
      </c>
      <c r="D103" s="130" t="str">
        <f>IF(C103&lt;E103,"&lt;","&gt;")</f>
        <v>&lt;</v>
      </c>
      <c r="E103" s="137">
        <f>E99</f>
        <v>133.33333333333334</v>
      </c>
      <c r="F103" s="89"/>
      <c r="G103" s="131" t="s">
        <v>363</v>
      </c>
      <c r="H103" s="132" t="str">
        <f>IF(C103&lt;E103,"[ OK ]","[ NOT OK ]")</f>
        <v>[ OK ]</v>
      </c>
      <c r="I103" s="273"/>
      <c r="J103" s="8"/>
    </row>
    <row r="104" spans="1:10" ht="19.149999999999999" customHeight="1" x14ac:dyDescent="0.25">
      <c r="A104" s="239"/>
      <c r="B104" s="272"/>
      <c r="C104" s="89"/>
      <c r="D104" s="89"/>
      <c r="E104" s="89"/>
      <c r="F104" s="89"/>
      <c r="G104" s="89"/>
      <c r="H104" s="128"/>
      <c r="I104" s="273"/>
    </row>
    <row r="105" spans="1:10" ht="19.149999999999999" customHeight="1" x14ac:dyDescent="0.25">
      <c r="A105" s="239" t="s">
        <v>865</v>
      </c>
      <c r="B105" s="268" t="s">
        <v>916</v>
      </c>
      <c r="C105" s="89"/>
      <c r="D105" s="89"/>
      <c r="E105" s="89"/>
      <c r="F105" s="89"/>
      <c r="G105" s="89"/>
      <c r="H105" s="128"/>
      <c r="I105" s="273"/>
      <c r="J105" s="8"/>
    </row>
    <row r="106" spans="1:10" ht="19.149999999999999" customHeight="1" x14ac:dyDescent="0.25">
      <c r="A106" s="239"/>
      <c r="B106" s="272" t="s">
        <v>919</v>
      </c>
      <c r="C106" s="89"/>
      <c r="D106" s="89"/>
      <c r="E106" s="89"/>
      <c r="F106" s="89"/>
      <c r="G106" s="136" t="s">
        <v>918</v>
      </c>
      <c r="H106" s="140">
        <f>(MAX(H81,H85)+IF(H89&gt;0,H89,0))</f>
        <v>27.916730734364126</v>
      </c>
      <c r="I106" s="273" t="s">
        <v>5</v>
      </c>
      <c r="J106" s="8"/>
    </row>
    <row r="107" spans="1:10" ht="19.149999999999999" customHeight="1" x14ac:dyDescent="0.25">
      <c r="A107" s="239"/>
      <c r="B107" s="271" t="s">
        <v>429</v>
      </c>
      <c r="C107" s="127" t="s">
        <v>430</v>
      </c>
      <c r="D107" s="128" t="s">
        <v>362</v>
      </c>
      <c r="E107" s="128" t="s">
        <v>917</v>
      </c>
      <c r="F107" s="89"/>
      <c r="G107" s="133"/>
      <c r="H107" s="134"/>
      <c r="I107" s="270"/>
      <c r="J107" s="8"/>
    </row>
    <row r="108" spans="1:10" ht="19.149999999999999" customHeight="1" x14ac:dyDescent="0.25">
      <c r="A108" s="239"/>
      <c r="B108" s="271"/>
      <c r="C108" s="137">
        <f>H106</f>
        <v>27.916730734364126</v>
      </c>
      <c r="D108" s="130" t="str">
        <f>IF(C108&lt;E108,"&lt;","&gt;")</f>
        <v>&lt;</v>
      </c>
      <c r="E108" s="137">
        <f>H5/800*1000</f>
        <v>50</v>
      </c>
      <c r="F108" s="89"/>
      <c r="G108" s="131" t="s">
        <v>363</v>
      </c>
      <c r="H108" s="132" t="str">
        <f>IF(C108&lt;E108,"[ OK ]","[ NOT OK ]")</f>
        <v>[ OK ]</v>
      </c>
      <c r="I108" s="270"/>
    </row>
    <row r="109" spans="1:10" ht="19.149999999999999" customHeight="1" x14ac:dyDescent="0.25">
      <c r="A109" s="241"/>
      <c r="B109" s="275"/>
      <c r="C109" s="276"/>
      <c r="D109" s="276"/>
      <c r="E109" s="276"/>
      <c r="F109" s="276"/>
      <c r="G109" s="276"/>
      <c r="H109" s="276"/>
      <c r="I109" s="277"/>
    </row>
  </sheetData>
  <mergeCells count="1">
    <mergeCell ref="B1:F1"/>
  </mergeCells>
  <conditionalFormatting sqref="H108 H103 H99 H56 H41 H29 H17">
    <cfRule type="containsText" dxfId="58" priority="1" operator="containsText" text="[ NOT OK ]">
      <formula>NOT(ISERROR(SEARCH("[ NOT OK ]",H17)))</formula>
    </cfRule>
    <cfRule type="containsText" dxfId="57" priority="2" operator="containsText" text="[ OK ]">
      <formula>NOT(ISERROR(SEARCH("[ OK ]",H17)))</formula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H23 H48 H6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83CF-37D9-4EBC-B3C6-99AC20A4059A}">
  <sheetPr codeName="Sheet11">
    <tabColor theme="7" tint="0.79998168889431442"/>
  </sheetPr>
  <dimension ref="A1:N90"/>
  <sheetViews>
    <sheetView showGridLines="0" workbookViewId="0"/>
  </sheetViews>
  <sheetFormatPr defaultColWidth="8.85546875" defaultRowHeight="19.149999999999999" customHeight="1" x14ac:dyDescent="0.25"/>
  <cols>
    <col min="1" max="1" width="6.5703125" style="63" customWidth="1"/>
    <col min="2" max="7" width="13.5703125" style="1" customWidth="1"/>
    <col min="8" max="8" width="14.28515625" style="1" customWidth="1"/>
    <col min="9" max="9" width="11.42578125" style="1" customWidth="1"/>
    <col min="10" max="10" width="11.42578125" style="28" customWidth="1"/>
    <col min="11" max="12" width="8.85546875" style="1"/>
    <col min="13" max="13" width="5.7109375" style="1" customWidth="1"/>
    <col min="14" max="16" width="10" style="1" customWidth="1"/>
    <col min="17" max="17" width="12.140625" style="1" customWidth="1"/>
    <col min="18" max="19" width="11.85546875" style="1" customWidth="1"/>
    <col min="20" max="20" width="10" style="1" customWidth="1"/>
    <col min="21" max="21" width="12" style="1" customWidth="1"/>
    <col min="22" max="16384" width="8.85546875" style="1"/>
  </cols>
  <sheetData>
    <row r="1" spans="1:14" ht="19.149999999999999" customHeight="1" x14ac:dyDescent="0.25">
      <c r="A1" s="63" t="s">
        <v>1336</v>
      </c>
      <c r="B1" s="87" t="s">
        <v>836</v>
      </c>
      <c r="C1" s="8"/>
      <c r="D1" s="8"/>
      <c r="E1" s="8"/>
      <c r="F1" s="8"/>
      <c r="G1" s="8"/>
      <c r="H1" s="8"/>
      <c r="I1" s="8"/>
      <c r="J1" s="90"/>
      <c r="K1" s="8"/>
      <c r="L1" s="8"/>
      <c r="M1" s="8"/>
      <c r="N1" s="8"/>
    </row>
    <row r="2" spans="1:14" ht="19.149999999999999" customHeight="1" x14ac:dyDescent="0.25">
      <c r="B2" s="8" t="s">
        <v>514</v>
      </c>
      <c r="C2" s="8"/>
      <c r="D2" s="8"/>
      <c r="E2" s="8"/>
      <c r="F2" s="8"/>
      <c r="G2" s="11" t="s">
        <v>487</v>
      </c>
      <c r="H2" s="149">
        <f>'Input (1)'!H59</f>
        <v>193000</v>
      </c>
      <c r="I2" s="90" t="s">
        <v>28</v>
      </c>
      <c r="J2" s="1"/>
      <c r="L2" s="8"/>
      <c r="M2" s="8"/>
    </row>
    <row r="3" spans="1:14" ht="19.149999999999999" customHeight="1" x14ac:dyDescent="0.25">
      <c r="B3" s="8" t="s">
        <v>262</v>
      </c>
      <c r="C3" s="8"/>
      <c r="D3" s="8"/>
      <c r="E3" s="8"/>
      <c r="F3" s="8"/>
      <c r="G3" s="11" t="s">
        <v>409</v>
      </c>
      <c r="H3" s="149">
        <f>'Process (2)'!H162</f>
        <v>68</v>
      </c>
      <c r="I3" s="90" t="s">
        <v>475</v>
      </c>
      <c r="J3" s="1"/>
      <c r="L3" s="8"/>
      <c r="M3" s="8"/>
    </row>
    <row r="4" spans="1:14" ht="19.149999999999999" customHeight="1" x14ac:dyDescent="0.25">
      <c r="B4" s="8" t="s">
        <v>263</v>
      </c>
      <c r="C4" s="8"/>
      <c r="D4" s="8"/>
      <c r="E4" s="8"/>
      <c r="F4" s="8"/>
      <c r="G4" s="11" t="s">
        <v>488</v>
      </c>
      <c r="H4" s="150">
        <f>'Input (1)'!H57/10^6</f>
        <v>9.87E-5</v>
      </c>
      <c r="I4" s="90" t="s">
        <v>127</v>
      </c>
      <c r="J4" s="1"/>
      <c r="L4" s="8"/>
      <c r="M4" s="8"/>
    </row>
    <row r="5" spans="1:14" ht="19.149999999999999" customHeight="1" x14ac:dyDescent="0.25">
      <c r="B5" s="8" t="s">
        <v>515</v>
      </c>
      <c r="C5" s="8"/>
      <c r="D5" s="8"/>
      <c r="E5" s="8"/>
      <c r="F5" s="8"/>
      <c r="G5" s="11" t="s">
        <v>489</v>
      </c>
      <c r="H5" s="149">
        <f>'Input (1)'!H54</f>
        <v>1580</v>
      </c>
      <c r="I5" s="90" t="s">
        <v>28</v>
      </c>
      <c r="J5" s="1"/>
      <c r="L5" s="8"/>
      <c r="M5" s="8"/>
    </row>
    <row r="6" spans="1:14" ht="18.75" customHeight="1" x14ac:dyDescent="0.25">
      <c r="A6" s="91"/>
      <c r="B6" s="76" t="s">
        <v>587</v>
      </c>
      <c r="C6" s="76"/>
      <c r="D6" s="76"/>
      <c r="E6" s="76"/>
      <c r="F6" s="76"/>
      <c r="G6" s="74" t="s">
        <v>581</v>
      </c>
      <c r="H6" s="149">
        <f>'Input (1)'!H55</f>
        <v>1860</v>
      </c>
      <c r="I6" s="120" t="s">
        <v>28</v>
      </c>
      <c r="J6" s="1"/>
      <c r="K6" s="118"/>
    </row>
    <row r="7" spans="1:14" ht="19.149999999999999" customHeight="1" x14ac:dyDescent="0.25">
      <c r="B7" s="8" t="s">
        <v>265</v>
      </c>
      <c r="C7" s="8"/>
      <c r="D7" s="8"/>
      <c r="E7" s="8"/>
      <c r="F7" s="8"/>
      <c r="G7" s="11" t="s">
        <v>490</v>
      </c>
      <c r="H7" s="150">
        <f>H3*H4</f>
        <v>6.7115999999999999E-3</v>
      </c>
      <c r="I7" s="90" t="s">
        <v>127</v>
      </c>
      <c r="J7" s="1"/>
      <c r="L7" s="8"/>
      <c r="M7" s="8"/>
    </row>
    <row r="8" spans="1:14" ht="19.149999999999999" customHeight="1" x14ac:dyDescent="0.25">
      <c r="B8" s="8" t="s">
        <v>405</v>
      </c>
      <c r="C8" s="8"/>
      <c r="D8" s="11"/>
      <c r="E8" s="128"/>
      <c r="F8" s="8"/>
      <c r="G8" s="11" t="s">
        <v>43</v>
      </c>
      <c r="H8" s="148">
        <f>'Input (1)'!H29</f>
        <v>50</v>
      </c>
      <c r="I8" s="90" t="s">
        <v>28</v>
      </c>
      <c r="J8" s="1"/>
      <c r="L8" s="8"/>
      <c r="M8" s="8"/>
    </row>
    <row r="9" spans="1:14" ht="19.149999999999999" customHeight="1" x14ac:dyDescent="0.25">
      <c r="B9" s="8"/>
      <c r="C9" s="8"/>
      <c r="D9" s="11"/>
      <c r="E9" s="128"/>
      <c r="F9" s="8"/>
      <c r="G9" s="11"/>
      <c r="H9" s="307"/>
      <c r="I9" s="90"/>
      <c r="J9" s="1"/>
      <c r="L9" s="8"/>
      <c r="M9" s="8"/>
    </row>
    <row r="10" spans="1:14" s="202" customFormat="1" ht="18.75" customHeight="1" x14ac:dyDescent="0.25">
      <c r="A10" s="309"/>
      <c r="B10" s="310" t="s">
        <v>933</v>
      </c>
      <c r="G10" s="303" t="s">
        <v>929</v>
      </c>
      <c r="H10" s="304" t="str">
        <f>IF(H8&lt;=28,0.85,"-")</f>
        <v>-</v>
      </c>
      <c r="I10" s="308"/>
    </row>
    <row r="11" spans="1:14" s="202" customFormat="1" ht="18.75" customHeight="1" x14ac:dyDescent="0.25">
      <c r="A11" s="309"/>
      <c r="B11" s="310" t="s">
        <v>934</v>
      </c>
      <c r="G11" s="303" t="s">
        <v>932</v>
      </c>
      <c r="H11" s="305">
        <f>IF(H8&gt;28,IF(H8&lt;55,0.85-0.05*(H8-28)/7,"-"),"-")</f>
        <v>0.69285714285714284</v>
      </c>
      <c r="I11" s="308"/>
    </row>
    <row r="12" spans="1:14" s="202" customFormat="1" ht="18.75" customHeight="1" x14ac:dyDescent="0.25">
      <c r="A12" s="309"/>
      <c r="B12" s="310" t="s">
        <v>930</v>
      </c>
      <c r="G12" s="303" t="s">
        <v>929</v>
      </c>
      <c r="H12" s="305" t="str">
        <f>IF(H8&gt;=55,0.65,"-")</f>
        <v>-</v>
      </c>
      <c r="I12" s="308"/>
    </row>
    <row r="13" spans="1:14" s="202" customFormat="1" ht="18.75" customHeight="1" x14ac:dyDescent="0.25">
      <c r="A13" s="309"/>
      <c r="B13" s="310" t="s">
        <v>931</v>
      </c>
      <c r="F13" s="306" t="s">
        <v>363</v>
      </c>
      <c r="G13" s="303" t="s">
        <v>929</v>
      </c>
      <c r="H13" s="140">
        <f>MAX(H10:H12)</f>
        <v>0.69285714285714284</v>
      </c>
      <c r="I13" s="308"/>
    </row>
    <row r="14" spans="1:14" ht="19.149999999999999" customHeight="1" x14ac:dyDescent="0.25">
      <c r="B14" s="8"/>
      <c r="C14" s="8"/>
      <c r="D14" s="11"/>
      <c r="E14" s="89"/>
      <c r="F14" s="8"/>
      <c r="G14" s="8"/>
      <c r="H14" s="11"/>
      <c r="I14" s="89"/>
      <c r="J14" s="90"/>
      <c r="M14" s="8"/>
      <c r="N14" s="8"/>
    </row>
    <row r="15" spans="1:14" ht="19.149999999999999" customHeight="1" x14ac:dyDescent="0.25">
      <c r="B15" s="8" t="s">
        <v>476</v>
      </c>
      <c r="C15" s="8"/>
      <c r="D15" s="8"/>
      <c r="E15" s="8"/>
      <c r="F15" s="8"/>
      <c r="G15" s="11" t="s">
        <v>21</v>
      </c>
      <c r="H15" s="148">
        <f>'Input (1)'!H24</f>
        <v>40</v>
      </c>
      <c r="I15" s="90" t="s">
        <v>2</v>
      </c>
      <c r="J15" s="1"/>
      <c r="K15" s="8"/>
      <c r="L15" s="8"/>
      <c r="M15" s="8"/>
      <c r="N15" s="8"/>
    </row>
    <row r="16" spans="1:14" ht="19.149999999999999" customHeight="1" x14ac:dyDescent="0.25">
      <c r="B16" s="8" t="s">
        <v>491</v>
      </c>
      <c r="C16" s="8"/>
      <c r="D16" s="8"/>
      <c r="E16" s="8"/>
      <c r="F16" s="8"/>
      <c r="G16" s="11" t="s">
        <v>402</v>
      </c>
      <c r="H16" s="140">
        <f>'Input (3) &amp; Process (4)'!H127</f>
        <v>7579.4128750556474</v>
      </c>
      <c r="I16" s="90" t="s">
        <v>40</v>
      </c>
      <c r="J16" s="1"/>
      <c r="K16" s="8"/>
      <c r="L16" s="8"/>
      <c r="M16" s="8"/>
      <c r="N16" s="8"/>
    </row>
    <row r="17" spans="1:14" ht="19.149999999999999" customHeight="1" x14ac:dyDescent="0.25">
      <c r="B17" s="8" t="s">
        <v>477</v>
      </c>
      <c r="C17" s="8"/>
      <c r="D17" s="8"/>
      <c r="E17" s="8"/>
      <c r="F17" s="8"/>
      <c r="G17" s="11" t="s">
        <v>938</v>
      </c>
      <c r="H17" s="140">
        <f>H16/H7*10^-3</f>
        <v>1129.3004462506181</v>
      </c>
      <c r="I17" s="90" t="s">
        <v>28</v>
      </c>
      <c r="J17" s="1"/>
      <c r="K17" s="8"/>
      <c r="L17" s="8"/>
      <c r="M17" s="8"/>
      <c r="N17" s="8"/>
    </row>
    <row r="18" spans="1:14" ht="19.149999999999999" customHeight="1" x14ac:dyDescent="0.25">
      <c r="B18" s="8" t="s">
        <v>478</v>
      </c>
      <c r="C18" s="8"/>
      <c r="D18" s="8"/>
      <c r="E18" s="8"/>
      <c r="F18" s="8"/>
      <c r="G18" s="11" t="s">
        <v>440</v>
      </c>
      <c r="H18" s="140">
        <f>'Process (2)'!H101</f>
        <v>1.0797449324394672</v>
      </c>
      <c r="I18" s="90" t="s">
        <v>127</v>
      </c>
      <c r="J18" s="1"/>
      <c r="K18" s="8"/>
      <c r="L18" s="8"/>
      <c r="M18" s="8"/>
      <c r="N18" s="8"/>
    </row>
    <row r="19" spans="1:14" ht="19.149999999999999" customHeight="1" x14ac:dyDescent="0.25">
      <c r="B19" s="8" t="s">
        <v>479</v>
      </c>
      <c r="C19" s="8"/>
      <c r="D19" s="8"/>
      <c r="E19" s="8"/>
      <c r="F19" s="8"/>
      <c r="G19" s="11" t="s">
        <v>492</v>
      </c>
      <c r="H19" s="140">
        <f>H7/H18</f>
        <v>6.2159124792894238E-3</v>
      </c>
      <c r="I19" s="90"/>
      <c r="J19" s="1"/>
      <c r="K19" s="8"/>
      <c r="L19" s="8"/>
      <c r="M19" s="8"/>
      <c r="N19" s="8"/>
    </row>
    <row r="20" spans="1:14" ht="19.149999999999999" customHeight="1" x14ac:dyDescent="0.25">
      <c r="B20" s="8"/>
      <c r="C20" s="8"/>
      <c r="D20" s="8"/>
      <c r="E20" s="8"/>
      <c r="F20" s="8"/>
      <c r="G20" s="8"/>
      <c r="H20" s="11"/>
      <c r="I20" s="191"/>
      <c r="J20" s="90"/>
      <c r="K20" s="8"/>
      <c r="L20" s="8"/>
      <c r="M20" s="8"/>
      <c r="N20" s="8"/>
    </row>
    <row r="21" spans="1:14" ht="19.149999999999999" customHeight="1" x14ac:dyDescent="0.25">
      <c r="A21" s="63" t="s">
        <v>1337</v>
      </c>
      <c r="B21" s="87" t="s">
        <v>837</v>
      </c>
      <c r="C21" s="8"/>
      <c r="D21" s="8"/>
      <c r="E21" s="8"/>
      <c r="F21" s="8"/>
      <c r="G21" s="8"/>
      <c r="H21" s="11"/>
      <c r="I21" s="191"/>
      <c r="J21" s="90"/>
      <c r="K21" s="8"/>
      <c r="L21" s="8"/>
      <c r="M21" s="8"/>
      <c r="N21" s="8"/>
    </row>
    <row r="22" spans="1:14" ht="19.149999999999999" customHeight="1" x14ac:dyDescent="0.25">
      <c r="B22" s="8"/>
      <c r="C22" s="8"/>
      <c r="D22" s="8"/>
      <c r="E22" s="8"/>
      <c r="F22" s="8"/>
      <c r="G22" s="8"/>
      <c r="H22" s="8"/>
      <c r="I22" s="8"/>
      <c r="J22" s="90"/>
      <c r="K22" s="8"/>
      <c r="L22" s="8"/>
      <c r="M22" s="8"/>
      <c r="N22" s="8"/>
    </row>
    <row r="23" spans="1:14" ht="19.149999999999999" customHeight="1" x14ac:dyDescent="0.25">
      <c r="B23" s="8"/>
      <c r="C23" s="8"/>
      <c r="D23" s="8"/>
      <c r="E23" s="8"/>
      <c r="F23" s="8"/>
      <c r="G23" s="8"/>
      <c r="H23" s="8"/>
      <c r="I23" s="8"/>
      <c r="J23" s="90"/>
      <c r="K23" s="8"/>
      <c r="L23" s="8"/>
      <c r="M23" s="8"/>
      <c r="N23" s="8"/>
    </row>
    <row r="24" spans="1:14" ht="19.149999999999999" customHeight="1" x14ac:dyDescent="0.25">
      <c r="A24" s="366"/>
      <c r="B24" s="8"/>
      <c r="C24" s="8"/>
      <c r="D24" s="8"/>
      <c r="E24" s="8"/>
      <c r="F24" s="8"/>
      <c r="G24" s="8"/>
      <c r="H24" s="8"/>
      <c r="I24" s="8"/>
      <c r="J24" s="90"/>
      <c r="K24" s="8"/>
      <c r="L24" s="8"/>
      <c r="M24" s="8"/>
      <c r="N24" s="8"/>
    </row>
    <row r="25" spans="1:14" ht="19.149999999999999" customHeight="1" x14ac:dyDescent="0.25">
      <c r="A25" s="366"/>
      <c r="B25" s="8"/>
      <c r="C25" s="8"/>
      <c r="D25" s="8"/>
      <c r="E25" s="8"/>
      <c r="F25" s="8"/>
      <c r="G25" s="8"/>
      <c r="H25" s="8"/>
      <c r="I25" s="8"/>
      <c r="J25" s="90"/>
      <c r="K25" s="8"/>
      <c r="L25" s="8"/>
      <c r="M25" s="8"/>
      <c r="N25" s="8"/>
    </row>
    <row r="26" spans="1:14" ht="19.149999999999999" customHeight="1" x14ac:dyDescent="0.25">
      <c r="A26" s="366"/>
      <c r="B26" s="8"/>
      <c r="C26" s="8"/>
      <c r="D26" s="8"/>
      <c r="E26" s="8"/>
      <c r="F26" s="8"/>
      <c r="G26" s="8"/>
      <c r="H26" s="8"/>
      <c r="I26" s="8"/>
      <c r="J26" s="90"/>
      <c r="K26" s="8"/>
      <c r="L26" s="8"/>
      <c r="M26" s="8"/>
      <c r="N26" s="8"/>
    </row>
    <row r="27" spans="1:14" ht="19.149999999999999" customHeight="1" x14ac:dyDescent="0.25">
      <c r="A27" s="366"/>
      <c r="B27" s="8"/>
      <c r="C27" s="8"/>
      <c r="D27" s="8"/>
      <c r="E27" s="8"/>
      <c r="F27" s="8"/>
      <c r="G27" s="8"/>
      <c r="H27" s="8"/>
      <c r="I27" s="8"/>
      <c r="J27" s="90"/>
      <c r="K27" s="8"/>
      <c r="L27" s="8"/>
      <c r="M27" s="8"/>
      <c r="N27" s="8"/>
    </row>
    <row r="28" spans="1:14" ht="19.149999999999999" customHeight="1" x14ac:dyDescent="0.25">
      <c r="A28" s="366"/>
      <c r="B28" s="8"/>
      <c r="C28" s="8"/>
      <c r="D28" s="8"/>
      <c r="E28" s="8"/>
      <c r="F28" s="8"/>
      <c r="G28" s="8"/>
      <c r="H28" s="8"/>
      <c r="I28" s="8"/>
      <c r="J28" s="90"/>
      <c r="K28" s="8"/>
      <c r="L28" s="8"/>
      <c r="M28" s="8"/>
      <c r="N28" s="8"/>
    </row>
    <row r="29" spans="1:14" ht="19.149999999999999" customHeight="1" x14ac:dyDescent="0.25">
      <c r="B29" s="8"/>
      <c r="C29" s="8"/>
      <c r="D29" s="8"/>
      <c r="E29" s="8"/>
      <c r="F29" s="8"/>
      <c r="G29" s="8"/>
      <c r="H29" s="8"/>
      <c r="I29" s="8"/>
      <c r="J29" s="90"/>
      <c r="K29" s="8"/>
      <c r="L29" s="8"/>
      <c r="M29" s="8"/>
      <c r="N29" s="8"/>
    </row>
    <row r="30" spans="1:14" ht="19.149999999999999" customHeight="1" x14ac:dyDescent="0.25">
      <c r="B30" s="8"/>
      <c r="C30" s="8"/>
      <c r="D30" s="8"/>
      <c r="E30" s="8"/>
      <c r="F30" s="8"/>
      <c r="G30" s="8"/>
      <c r="H30" s="8"/>
      <c r="I30" s="8"/>
      <c r="J30" s="90"/>
      <c r="K30" s="8"/>
      <c r="L30" s="8"/>
      <c r="M30" s="8"/>
      <c r="N30" s="8"/>
    </row>
    <row r="31" spans="1:14" ht="19.149999999999999" customHeight="1" x14ac:dyDescent="0.25">
      <c r="B31" s="8"/>
      <c r="C31" s="8"/>
      <c r="D31" s="8"/>
      <c r="E31" s="8"/>
      <c r="F31" s="8"/>
      <c r="G31" s="8"/>
      <c r="H31" s="8"/>
      <c r="I31" s="8"/>
      <c r="J31" s="90"/>
      <c r="K31" s="8"/>
      <c r="L31" s="8"/>
      <c r="M31" s="8"/>
      <c r="N31" s="8"/>
    </row>
    <row r="32" spans="1:14" ht="19.149999999999999" customHeight="1" x14ac:dyDescent="0.25">
      <c r="B32" s="8"/>
      <c r="C32" s="8"/>
      <c r="D32" s="8"/>
      <c r="E32" s="8"/>
      <c r="F32" s="8"/>
      <c r="G32" s="8"/>
      <c r="H32" s="8"/>
      <c r="I32" s="8"/>
      <c r="J32" s="90"/>
      <c r="K32" s="8"/>
      <c r="L32" s="8"/>
      <c r="M32" s="8"/>
      <c r="N32" s="8"/>
    </row>
    <row r="33" spans="2:14" ht="19.149999999999999" customHeight="1" x14ac:dyDescent="0.25">
      <c r="B33" s="8"/>
      <c r="C33" s="8"/>
      <c r="D33" s="8"/>
      <c r="E33" s="8"/>
      <c r="F33" s="8"/>
      <c r="G33" s="8"/>
      <c r="H33" s="8"/>
      <c r="I33" s="8"/>
      <c r="J33" s="90"/>
      <c r="K33" s="8"/>
      <c r="L33" s="8"/>
      <c r="M33" s="8"/>
      <c r="N33" s="8"/>
    </row>
    <row r="34" spans="2:14" ht="19.149999999999999" customHeight="1" x14ac:dyDescent="0.25">
      <c r="B34" s="11" t="s">
        <v>493</v>
      </c>
      <c r="C34" s="148">
        <f>'Process (2)'!F5</f>
        <v>0.64</v>
      </c>
      <c r="D34" s="11" t="s">
        <v>494</v>
      </c>
      <c r="E34" s="148">
        <f>'Process (2)'!F9</f>
        <v>0.24999999999999997</v>
      </c>
      <c r="N34" s="8"/>
    </row>
    <row r="35" spans="2:14" ht="19.149999999999999" customHeight="1" x14ac:dyDescent="0.25">
      <c r="B35" s="11" t="s">
        <v>497</v>
      </c>
      <c r="C35" s="148">
        <f>'Process (2)'!F6</f>
        <v>0.8</v>
      </c>
      <c r="D35" s="11" t="s">
        <v>498</v>
      </c>
      <c r="E35" s="148">
        <f>'Process (2)'!F10</f>
        <v>0.7</v>
      </c>
      <c r="N35" s="8"/>
    </row>
    <row r="36" spans="2:14" ht="19.149999999999999" customHeight="1" x14ac:dyDescent="0.25">
      <c r="B36" s="11" t="s">
        <v>501</v>
      </c>
      <c r="C36" s="148">
        <f>'Process (2)'!F7</f>
        <v>0.30000000000000004</v>
      </c>
      <c r="D36" s="11" t="s">
        <v>502</v>
      </c>
      <c r="E36" s="148">
        <f>'Process (2)'!H37</f>
        <v>1.3097797297578684</v>
      </c>
      <c r="N36" s="8"/>
    </row>
    <row r="37" spans="2:14" ht="19.149999999999999" customHeight="1" x14ac:dyDescent="0.25">
      <c r="B37" s="11" t="s">
        <v>504</v>
      </c>
      <c r="C37" s="148">
        <f>'Process (2)'!F8</f>
        <v>0.2</v>
      </c>
      <c r="D37" s="8"/>
      <c r="E37" s="8"/>
      <c r="N37" s="8"/>
    </row>
    <row r="38" spans="2:14" ht="19.149999999999999" customHeight="1" x14ac:dyDescent="0.25">
      <c r="B38" s="8"/>
      <c r="C38" s="8"/>
      <c r="D38" s="8"/>
      <c r="E38" s="8"/>
      <c r="F38" s="8"/>
      <c r="G38" s="8"/>
      <c r="H38" s="8"/>
      <c r="I38" s="8"/>
      <c r="J38" s="90"/>
      <c r="K38" s="8"/>
      <c r="L38" s="8"/>
      <c r="M38" s="8"/>
      <c r="N38" s="8"/>
    </row>
    <row r="39" spans="2:14" ht="19.149999999999999" customHeight="1" x14ac:dyDescent="0.25">
      <c r="B39" s="11" t="s">
        <v>495</v>
      </c>
      <c r="C39" s="148">
        <f>'Process (2)'!H5</f>
        <v>7.0000000000000007E-2</v>
      </c>
      <c r="D39" s="11" t="s">
        <v>496</v>
      </c>
      <c r="E39" s="148">
        <f>'Process (2)'!H9</f>
        <v>0.25</v>
      </c>
      <c r="F39" s="8"/>
      <c r="H39" s="8"/>
      <c r="I39" s="8"/>
      <c r="J39" s="90"/>
      <c r="K39" s="8"/>
      <c r="L39" s="8"/>
      <c r="M39" s="8"/>
      <c r="N39" s="8"/>
    </row>
    <row r="40" spans="2:14" ht="19.149999999999999" customHeight="1" x14ac:dyDescent="0.25">
      <c r="B40" s="11" t="s">
        <v>499</v>
      </c>
      <c r="C40" s="148">
        <f>'Process (2)'!H6</f>
        <v>0.13</v>
      </c>
      <c r="D40" s="11" t="s">
        <v>500</v>
      </c>
      <c r="E40" s="148">
        <f>'Process (2)'!H10</f>
        <v>0.25</v>
      </c>
      <c r="F40" s="8"/>
      <c r="H40" s="8"/>
      <c r="I40" s="8"/>
      <c r="J40" s="90"/>
      <c r="K40" s="8"/>
      <c r="L40" s="8"/>
      <c r="M40" s="8"/>
      <c r="N40" s="8"/>
    </row>
    <row r="41" spans="2:14" ht="19.149999999999999" customHeight="1" x14ac:dyDescent="0.25">
      <c r="B41" s="11" t="s">
        <v>503</v>
      </c>
      <c r="C41" s="148">
        <f>'Process (2)'!H7</f>
        <v>0.12</v>
      </c>
      <c r="D41" s="11" t="s">
        <v>107</v>
      </c>
      <c r="E41" s="148">
        <f>'Process (2)'!H11</f>
        <v>2.1</v>
      </c>
      <c r="F41" s="8"/>
      <c r="H41" s="8"/>
      <c r="I41" s="8"/>
      <c r="J41" s="90"/>
      <c r="K41" s="8"/>
      <c r="L41" s="8"/>
      <c r="M41" s="8"/>
      <c r="N41" s="8"/>
    </row>
    <row r="42" spans="2:14" ht="19.149999999999999" customHeight="1" x14ac:dyDescent="0.25">
      <c r="B42" s="11" t="s">
        <v>505</v>
      </c>
      <c r="C42" s="148">
        <f>'Process (2)'!H8</f>
        <v>1.6500000000000001</v>
      </c>
      <c r="D42" s="11" t="s">
        <v>407</v>
      </c>
      <c r="E42" s="148">
        <f>'Input (1)'!H13</f>
        <v>0.25</v>
      </c>
      <c r="F42" s="8"/>
      <c r="G42" s="1" t="s">
        <v>516</v>
      </c>
      <c r="I42" s="8"/>
      <c r="J42" s="90"/>
      <c r="K42" s="8"/>
      <c r="L42" s="8"/>
      <c r="M42" s="8"/>
      <c r="N42" s="8"/>
    </row>
    <row r="43" spans="2:14" ht="19.149999999999999" customHeight="1" x14ac:dyDescent="0.25">
      <c r="B43" s="8"/>
      <c r="C43" s="8"/>
      <c r="D43" s="88"/>
      <c r="E43" s="8"/>
      <c r="F43" s="8"/>
      <c r="G43" s="11"/>
      <c r="H43" s="8"/>
      <c r="I43" s="8"/>
      <c r="J43" s="90"/>
      <c r="K43" s="8"/>
      <c r="L43" s="8"/>
      <c r="M43" s="8"/>
      <c r="N43" s="8"/>
    </row>
    <row r="44" spans="2:14" ht="19.149999999999999" customHeight="1" x14ac:dyDescent="0.25">
      <c r="B44" s="8" t="s">
        <v>101</v>
      </c>
      <c r="C44" s="8"/>
      <c r="G44" s="11" t="s">
        <v>506</v>
      </c>
      <c r="H44" s="148">
        <f>E41+E42</f>
        <v>2.35</v>
      </c>
      <c r="I44" s="8" t="s">
        <v>2</v>
      </c>
      <c r="J44" s="1"/>
      <c r="K44" s="8"/>
      <c r="L44" s="8"/>
      <c r="M44" s="8"/>
    </row>
    <row r="45" spans="2:14" ht="19.149999999999999" customHeight="1" x14ac:dyDescent="0.25">
      <c r="B45" s="8" t="s">
        <v>936</v>
      </c>
      <c r="C45" s="8"/>
      <c r="D45" s="11"/>
      <c r="E45" s="311"/>
      <c r="F45" s="8"/>
      <c r="G45" s="11"/>
      <c r="H45" s="191"/>
      <c r="I45" s="90"/>
      <c r="J45" s="1"/>
      <c r="K45" s="8"/>
      <c r="L45" s="8"/>
      <c r="M45" s="8"/>
    </row>
    <row r="46" spans="2:14" ht="19.149999999999999" customHeight="1" x14ac:dyDescent="0.25">
      <c r="B46" s="8" t="s">
        <v>361</v>
      </c>
      <c r="C46" s="16" t="s">
        <v>937</v>
      </c>
      <c r="D46" s="16" t="s">
        <v>362</v>
      </c>
      <c r="E46" s="311">
        <v>35</v>
      </c>
      <c r="F46" s="8"/>
      <c r="G46" s="11"/>
      <c r="H46" s="191"/>
      <c r="I46" s="90"/>
      <c r="J46" s="1"/>
      <c r="K46" s="8"/>
      <c r="L46" s="8"/>
      <c r="M46" s="8"/>
    </row>
    <row r="47" spans="2:14" ht="19.149999999999999" customHeight="1" x14ac:dyDescent="0.25">
      <c r="B47" s="8"/>
      <c r="C47" s="140">
        <f>H15/H44</f>
        <v>17.021276595744681</v>
      </c>
      <c r="D47" s="3" t="str">
        <f>IF(C47&lt;E47,"&lt;","&gt;")</f>
        <v>&lt;</v>
      </c>
      <c r="E47" s="148">
        <v>35</v>
      </c>
      <c r="G47" s="192" t="s">
        <v>363</v>
      </c>
      <c r="H47" s="383" t="str">
        <f>IF(C47&lt;E47,"[ OK ]","[NOT OK]")</f>
        <v>[ OK ]</v>
      </c>
      <c r="I47" s="90"/>
      <c r="J47" s="1"/>
      <c r="K47" s="8"/>
      <c r="L47" s="8"/>
      <c r="M47" s="8"/>
    </row>
    <row r="48" spans="2:14" ht="19.149999999999999" customHeight="1" x14ac:dyDescent="0.25">
      <c r="B48" s="8"/>
      <c r="C48" s="8"/>
      <c r="D48" s="11"/>
      <c r="E48" s="311"/>
      <c r="F48" s="8"/>
      <c r="G48" s="11"/>
      <c r="H48" s="191"/>
      <c r="I48" s="90"/>
      <c r="J48" s="1"/>
      <c r="K48" s="8"/>
      <c r="L48" s="8"/>
      <c r="M48" s="8"/>
    </row>
    <row r="49" spans="2:13" ht="19.149999999999999" customHeight="1" x14ac:dyDescent="0.25">
      <c r="B49" s="1" t="s">
        <v>949</v>
      </c>
      <c r="C49" s="8"/>
      <c r="D49" s="11"/>
      <c r="E49" s="311"/>
      <c r="F49" s="8"/>
      <c r="G49" s="634" t="str">
        <f>'Input (1)'!G60</f>
        <v>Dengan Lekatan (Bounded)</v>
      </c>
      <c r="H49" s="635"/>
      <c r="I49" s="90"/>
      <c r="J49" s="1"/>
      <c r="K49" s="8"/>
      <c r="L49" s="8"/>
      <c r="M49" s="8"/>
    </row>
    <row r="50" spans="2:13" ht="19.149999999999999" customHeight="1" x14ac:dyDescent="0.25">
      <c r="B50" s="8" t="s">
        <v>943</v>
      </c>
      <c r="C50" s="8"/>
      <c r="D50" s="11"/>
      <c r="E50" s="311"/>
      <c r="F50" s="8"/>
      <c r="G50" s="11" t="s">
        <v>944</v>
      </c>
      <c r="H50" s="314">
        <f>H5/H6</f>
        <v>0.84946236559139787</v>
      </c>
      <c r="I50" s="90"/>
      <c r="J50" s="1"/>
      <c r="K50" s="8"/>
      <c r="L50" s="8"/>
      <c r="M50" s="8"/>
    </row>
    <row r="51" spans="2:13" ht="19.149999999999999" customHeight="1" x14ac:dyDescent="0.25">
      <c r="B51" s="8" t="s">
        <v>945</v>
      </c>
      <c r="C51" s="8"/>
      <c r="D51" s="11"/>
      <c r="E51" s="311"/>
      <c r="F51" s="8"/>
      <c r="G51" s="5" t="s">
        <v>946</v>
      </c>
      <c r="H51" s="140">
        <f>IF(H50&gt;=0.9,0.28,IF(H50&gt;=0.85,0.4,IF(H50&gt;=0.8,0.55,"[ EROR ]")))</f>
        <v>0.55000000000000004</v>
      </c>
      <c r="I51" s="90"/>
      <c r="J51" s="1"/>
      <c r="K51" s="8"/>
      <c r="L51" s="8"/>
      <c r="M51" s="8"/>
    </row>
    <row r="52" spans="2:13" ht="19.149999999999999" customHeight="1" x14ac:dyDescent="0.25">
      <c r="B52" s="8" t="s">
        <v>947</v>
      </c>
      <c r="C52" s="8"/>
      <c r="D52" s="11"/>
      <c r="E52" s="311"/>
      <c r="F52" s="8"/>
      <c r="G52" s="5" t="s">
        <v>948</v>
      </c>
      <c r="H52" s="148">
        <f>IF('Input (1)'!G60="Tanpa Lekatan (Unbounded)","-",H6*(1-H51/H13*H19*H6/H8))</f>
        <v>1518.5872262622831</v>
      </c>
      <c r="I52" s="90"/>
      <c r="J52" s="1"/>
      <c r="K52" s="8"/>
      <c r="L52" s="8"/>
      <c r="M52" s="8"/>
    </row>
    <row r="53" spans="2:13" ht="19.149999999999999" customHeight="1" x14ac:dyDescent="0.25">
      <c r="C53" s="8"/>
      <c r="D53" s="8"/>
      <c r="E53" s="8"/>
      <c r="F53" s="8"/>
      <c r="G53" s="11" t="s">
        <v>941</v>
      </c>
      <c r="H53" s="148" t="str">
        <f>IF('Input (1)'!G60="Dengan Lekatan (Bounded)","-",H17+70+H8/(100*H19))</f>
        <v>-</v>
      </c>
      <c r="I53" s="90" t="s">
        <v>28</v>
      </c>
      <c r="J53" s="1"/>
      <c r="K53" s="8"/>
      <c r="L53" s="8"/>
      <c r="M53" s="8"/>
    </row>
    <row r="54" spans="2:13" ht="19.149999999999999" customHeight="1" x14ac:dyDescent="0.25">
      <c r="B54" s="8"/>
      <c r="C54" s="8"/>
      <c r="D54" s="8"/>
      <c r="E54" s="8"/>
      <c r="F54" s="8"/>
      <c r="G54" s="11" t="s">
        <v>950</v>
      </c>
      <c r="H54" s="148" t="str">
        <f>IF('Input (1)'!G60="Dengan Lekatan (Bounded)","-",H17+420)</f>
        <v>-</v>
      </c>
      <c r="I54" s="90" t="s">
        <v>28</v>
      </c>
      <c r="J54" s="1"/>
      <c r="K54" s="8"/>
      <c r="L54" s="8"/>
      <c r="M54" s="8"/>
    </row>
    <row r="55" spans="2:13" ht="19.149999999999999" customHeight="1" x14ac:dyDescent="0.25">
      <c r="B55" s="8"/>
      <c r="C55" s="8"/>
      <c r="D55" s="8"/>
      <c r="E55" s="8"/>
      <c r="F55" s="8"/>
      <c r="G55" s="11" t="s">
        <v>942</v>
      </c>
      <c r="H55" s="148">
        <f>H5</f>
        <v>1580</v>
      </c>
      <c r="I55" s="90" t="s">
        <v>28</v>
      </c>
      <c r="J55" s="1"/>
      <c r="K55" s="8"/>
      <c r="L55" s="8"/>
      <c r="M55" s="8"/>
    </row>
    <row r="56" spans="2:13" ht="19.149999999999999" customHeight="1" x14ac:dyDescent="0.25">
      <c r="B56" s="8" t="s">
        <v>935</v>
      </c>
      <c r="C56" s="8"/>
      <c r="E56" s="8"/>
      <c r="F56" s="8"/>
      <c r="G56" s="11" t="s">
        <v>507</v>
      </c>
      <c r="H56" s="148">
        <f>MIN(H52:H55)</f>
        <v>1518.5872262622831</v>
      </c>
      <c r="I56" s="90" t="s">
        <v>28</v>
      </c>
      <c r="J56" s="1"/>
      <c r="K56" s="8"/>
      <c r="L56" s="8"/>
      <c r="M56" s="8"/>
    </row>
    <row r="57" spans="2:13" ht="19.149999999999999" customHeight="1" x14ac:dyDescent="0.25">
      <c r="B57" s="10"/>
      <c r="C57" s="8"/>
      <c r="D57" s="8"/>
      <c r="E57" s="8"/>
      <c r="F57" s="8"/>
      <c r="G57" s="8"/>
      <c r="H57" s="11"/>
      <c r="I57" s="89"/>
    </row>
    <row r="58" spans="2:13" ht="19.149999999999999" customHeight="1" x14ac:dyDescent="0.25">
      <c r="B58" s="8" t="s">
        <v>480</v>
      </c>
      <c r="C58" s="8"/>
      <c r="D58" s="8"/>
      <c r="E58" s="8"/>
      <c r="F58" s="8"/>
      <c r="G58" s="11" t="s">
        <v>508</v>
      </c>
      <c r="H58" s="140">
        <f>'Process (2)'!H235</f>
        <v>0.19999999999999996</v>
      </c>
      <c r="I58" s="90" t="s">
        <v>2</v>
      </c>
      <c r="J58" s="1"/>
      <c r="K58" s="8"/>
      <c r="L58" s="8"/>
      <c r="M58" s="8"/>
    </row>
    <row r="59" spans="2:13" ht="19.149999999999999" customHeight="1" x14ac:dyDescent="0.25">
      <c r="B59" s="8" t="s">
        <v>481</v>
      </c>
      <c r="C59" s="8"/>
      <c r="D59" s="8"/>
      <c r="E59" s="8"/>
      <c r="F59" s="8"/>
      <c r="G59" s="11" t="s">
        <v>509</v>
      </c>
      <c r="H59" s="140">
        <f>H44-H58</f>
        <v>2.1500000000000004</v>
      </c>
      <c r="I59" s="90" t="s">
        <v>2</v>
      </c>
      <c r="J59" s="1"/>
      <c r="K59" s="8"/>
      <c r="L59" s="8"/>
      <c r="M59" s="8"/>
    </row>
    <row r="60" spans="2:13" ht="19.149999999999999" customHeight="1" x14ac:dyDescent="0.25">
      <c r="B60" s="8" t="s">
        <v>406</v>
      </c>
      <c r="C60" s="8"/>
      <c r="G60" s="11" t="s">
        <v>510</v>
      </c>
      <c r="H60" s="148">
        <f>H8*1000</f>
        <v>50000</v>
      </c>
      <c r="I60" s="90" t="s">
        <v>135</v>
      </c>
      <c r="J60" s="1"/>
      <c r="L60" s="8"/>
      <c r="M60" s="8"/>
    </row>
    <row r="61" spans="2:13" ht="19.149999999999999" customHeight="1" x14ac:dyDescent="0.25">
      <c r="B61" s="8" t="s">
        <v>482</v>
      </c>
      <c r="F61" s="8"/>
      <c r="G61" s="11" t="s">
        <v>507</v>
      </c>
      <c r="H61" s="148">
        <f>H56</f>
        <v>1518.5872262622831</v>
      </c>
      <c r="I61" s="90" t="s">
        <v>135</v>
      </c>
      <c r="J61" s="1"/>
      <c r="L61" s="8"/>
      <c r="M61" s="8"/>
    </row>
    <row r="62" spans="2:13" ht="19.149999999999999" customHeight="1" x14ac:dyDescent="0.25">
      <c r="B62" s="8" t="s">
        <v>483</v>
      </c>
      <c r="C62" s="8"/>
      <c r="D62" s="8"/>
      <c r="E62" s="8"/>
      <c r="F62" s="8"/>
      <c r="G62" s="11" t="s">
        <v>511</v>
      </c>
      <c r="H62" s="148">
        <f>H7*H56*1000</f>
        <v>10192.15002778194</v>
      </c>
      <c r="I62" s="90" t="s">
        <v>40</v>
      </c>
      <c r="J62" s="1"/>
      <c r="L62" s="8"/>
      <c r="M62" s="8"/>
    </row>
    <row r="63" spans="2:13" ht="19.149999999999999" customHeight="1" x14ac:dyDescent="0.25">
      <c r="B63" s="8" t="s">
        <v>957</v>
      </c>
      <c r="C63" s="8"/>
      <c r="D63" s="8"/>
      <c r="E63" s="8"/>
      <c r="F63" s="8"/>
      <c r="G63" s="11"/>
      <c r="H63" s="311"/>
      <c r="I63" s="90"/>
      <c r="J63" s="1"/>
      <c r="L63" s="8"/>
      <c r="M63" s="8"/>
    </row>
    <row r="64" spans="2:13" ht="19.149999999999999" customHeight="1" x14ac:dyDescent="0.25">
      <c r="B64" s="8"/>
      <c r="C64" s="8" t="s">
        <v>958</v>
      </c>
      <c r="D64" s="8"/>
      <c r="E64" s="8"/>
      <c r="F64" s="8"/>
      <c r="G64" s="11"/>
      <c r="H64" s="311"/>
      <c r="I64" s="90"/>
      <c r="J64" s="1"/>
      <c r="L64" s="8"/>
      <c r="M64" s="8"/>
    </row>
    <row r="65" spans="1:14" ht="19.149999999999999" customHeight="1" x14ac:dyDescent="0.25">
      <c r="B65" s="8"/>
      <c r="C65" s="8" t="s">
        <v>517</v>
      </c>
      <c r="D65" s="8"/>
      <c r="E65" s="8"/>
      <c r="F65" s="8"/>
      <c r="G65" s="11"/>
      <c r="H65" s="352"/>
      <c r="I65" s="90"/>
      <c r="J65" s="1"/>
      <c r="L65" s="8"/>
      <c r="M65" s="8"/>
    </row>
    <row r="66" spans="1:14" ht="19.149999999999999" customHeight="1" x14ac:dyDescent="0.25">
      <c r="B66" s="8" t="s">
        <v>962</v>
      </c>
      <c r="C66" s="8"/>
      <c r="D66" s="8"/>
      <c r="E66" s="8"/>
      <c r="F66" s="8"/>
      <c r="G66" s="11" t="s">
        <v>959</v>
      </c>
      <c r="H66" s="147">
        <f>H62/(0.85*H8*1000)</f>
        <v>0.23981529477133975</v>
      </c>
      <c r="I66" s="90" t="s">
        <v>127</v>
      </c>
      <c r="J66" s="1"/>
      <c r="L66" s="8"/>
      <c r="M66" s="8"/>
    </row>
    <row r="67" spans="1:14" ht="19.149999999999999" customHeight="1" x14ac:dyDescent="0.25">
      <c r="B67" s="8" t="s">
        <v>960</v>
      </c>
      <c r="C67" s="8"/>
      <c r="E67" s="8" t="s">
        <v>971</v>
      </c>
      <c r="F67" s="8"/>
      <c r="G67" s="11"/>
      <c r="H67" s="148" t="str">
        <f>IF(H66/E36&gt;0,IF(H66/E36&lt;=E42,"[ YA ]","[ LEBIH ]"),"")</f>
        <v>[ YA ]</v>
      </c>
      <c r="I67" s="90"/>
      <c r="J67" s="311"/>
      <c r="L67" s="8"/>
      <c r="M67" s="8"/>
    </row>
    <row r="68" spans="1:14" ht="19.149999999999999" customHeight="1" x14ac:dyDescent="0.25">
      <c r="B68" s="8"/>
      <c r="C68" s="8"/>
      <c r="E68" s="8" t="s">
        <v>972</v>
      </c>
      <c r="F68" s="8"/>
      <c r="G68" s="11"/>
      <c r="H68" s="148" t="str">
        <f>IF((H66/E36-E42)&gt;0,IF((H66/E36-E42)&lt;=C39,"[ YA ]","[ LEBIH ]"),"")</f>
        <v/>
      </c>
      <c r="I68" s="90"/>
      <c r="J68" s="311"/>
      <c r="L68" s="8"/>
      <c r="M68" s="8"/>
    </row>
    <row r="69" spans="1:14" ht="19.149999999999999" customHeight="1" x14ac:dyDescent="0.25">
      <c r="B69" s="8"/>
      <c r="C69" s="8"/>
      <c r="E69" s="8" t="s">
        <v>973</v>
      </c>
      <c r="F69" s="8"/>
      <c r="G69" s="11"/>
      <c r="H69" s="148" t="str">
        <f>IF(((H66/E36-E42)-C39)&gt;0,IF(((H66/E36-E42)-C39)&lt;=C40,"[ YA ]","[ LEBIH ]"),"")</f>
        <v/>
      </c>
      <c r="I69" s="90"/>
      <c r="J69" s="311"/>
      <c r="L69" s="8"/>
      <c r="M69" s="8"/>
    </row>
    <row r="70" spans="1:14" ht="19.149999999999999" customHeight="1" x14ac:dyDescent="0.25">
      <c r="B70" s="8"/>
      <c r="C70" s="8"/>
      <c r="E70" s="8" t="s">
        <v>974</v>
      </c>
      <c r="F70" s="8"/>
      <c r="G70" s="11"/>
      <c r="H70" s="148" t="str">
        <f>IF((((H66/E36-E42)-C39)-C40)&gt;0,IF((((H66/E36-E42)-C39)-C40)&lt;=C41,"[ YA ]","[ LEBIH ]"),"")</f>
        <v/>
      </c>
      <c r="I70" s="90"/>
      <c r="J70" s="311"/>
      <c r="L70" s="8"/>
      <c r="M70" s="8"/>
    </row>
    <row r="71" spans="1:14" ht="19.149999999999999" customHeight="1" x14ac:dyDescent="0.25">
      <c r="B71" s="8"/>
      <c r="C71" s="8"/>
      <c r="E71" s="8" t="s">
        <v>975</v>
      </c>
      <c r="F71" s="8"/>
      <c r="G71" s="11"/>
      <c r="H71" s="148" t="str">
        <f>IF(((((H66/E36-E42)-C39)-C40)-C41)&gt;0,IF(((((H66/E36-E42)-C39)-C40)-C41)&lt;=C42,"[ YA ]","[ LEBIH ]"),"")</f>
        <v/>
      </c>
      <c r="I71" s="90"/>
      <c r="J71" s="311"/>
      <c r="L71" s="8"/>
      <c r="M71" s="8"/>
    </row>
    <row r="72" spans="1:14" ht="19.149999999999999" customHeight="1" x14ac:dyDescent="0.25">
      <c r="B72" s="1" t="s">
        <v>963</v>
      </c>
      <c r="G72" s="2" t="s">
        <v>964</v>
      </c>
      <c r="H72" s="314">
        <f>IF(H67="[ YA ]",0.5*H66/E36,IF(H68="[ YA ]",(0.5*E42*E42*E36+(0.5*(H66/E36-E42)+E42)*(H66/E36-E42)*C34)/(E42*E36+(H66/E36-E42)*C34),IF(H69="[ YA ]",(0.5*E42*E42*E36+(0.5*C39+E42)*C39*C34+(0.5*((H66/E36-E42)-C39)+E42+C39)*((H66/E36-E42)-C39)*C35)/(E42*E36+C39*C34+((H66/E36-E42)-C39)*C35),IF(H70="[ YA ]",(0.5*E42*E42*E36+(0.5*C39+E42)*C39*C34+(0.5*C40+C39+E42)*C40*C35+(0.5*(((H66/E36-E42)-C39)-C40)+C40+C39+E42)*(((H66/E36-E42)-C39)-C40)*C36)/(E42*E36+C39*C34+C40*C35+(((H66/E36-E42)-C39)-C40)*C36),IF(H71="[ YA ]",(0.5*E42*E42*E36+(0.5*C39+E42)*C39*C34+(0.5*C40+E42+C39)*C40*C35+(0.5*C41+C40+C39+E42)*C41*C36+(0.5*((((H66/E36-E42)-C39)-C40)-C41)+E42+C41+C40+C39)*((((H66/E36-E42)-C39)-C40)-C41)*C37)/(E42*E36+C39*C34+C40*C35+C41*C36+((((H66/E36-E42)-C39)-C40)-C41)*C37),"[ EROR ]")))))</f>
        <v>9.1547948606470295E-2</v>
      </c>
      <c r="I72" s="90" t="s">
        <v>2</v>
      </c>
      <c r="J72" s="160"/>
      <c r="L72" s="8"/>
      <c r="M72" s="8"/>
    </row>
    <row r="73" spans="1:14" ht="19.149999999999999" customHeight="1" x14ac:dyDescent="0.25">
      <c r="B73" s="8" t="s">
        <v>961</v>
      </c>
      <c r="C73" s="8"/>
      <c r="D73" s="8"/>
      <c r="E73" s="8"/>
      <c r="F73" s="8"/>
      <c r="G73" s="11" t="s">
        <v>186</v>
      </c>
      <c r="H73" s="314">
        <f>2*H72</f>
        <v>0.18309589721294059</v>
      </c>
      <c r="I73" s="90" t="s">
        <v>2</v>
      </c>
      <c r="J73" s="160"/>
      <c r="L73" s="8"/>
      <c r="M73" s="8"/>
    </row>
    <row r="74" spans="1:14" ht="19.149999999999999" customHeight="1" x14ac:dyDescent="0.25">
      <c r="B74" s="8" t="s">
        <v>965</v>
      </c>
      <c r="C74" s="8"/>
      <c r="D74" s="8"/>
      <c r="E74" s="8"/>
      <c r="F74" s="8"/>
      <c r="G74" s="11" t="s">
        <v>19</v>
      </c>
      <c r="H74" s="314">
        <f>H66/H73</f>
        <v>1.3097797297578684</v>
      </c>
      <c r="I74" s="90" t="s">
        <v>2</v>
      </c>
      <c r="J74" s="160"/>
      <c r="L74" s="8"/>
      <c r="M74" s="8"/>
    </row>
    <row r="75" spans="1:14" ht="19.149999999999999" customHeight="1" x14ac:dyDescent="0.25">
      <c r="B75" s="8"/>
      <c r="C75" s="11"/>
      <c r="D75" s="16"/>
      <c r="E75" s="8"/>
      <c r="F75" s="8"/>
      <c r="G75" s="88"/>
      <c r="J75" s="90"/>
      <c r="K75" s="8"/>
      <c r="L75" s="8"/>
      <c r="M75" s="8"/>
      <c r="N75" s="8"/>
    </row>
    <row r="76" spans="1:14" ht="19.149999999999999" customHeight="1" x14ac:dyDescent="0.25">
      <c r="B76" s="8" t="s">
        <v>484</v>
      </c>
      <c r="C76" s="8"/>
      <c r="D76" s="8"/>
      <c r="E76" s="8"/>
      <c r="F76" s="8"/>
      <c r="G76" s="11" t="s">
        <v>512</v>
      </c>
      <c r="H76" s="147">
        <f>H73/H13</f>
        <v>0.26426211968878022</v>
      </c>
      <c r="I76" s="90" t="s">
        <v>2</v>
      </c>
      <c r="J76" s="1"/>
      <c r="L76" s="8"/>
    </row>
    <row r="77" spans="1:14" ht="19.149999999999999" customHeight="1" x14ac:dyDescent="0.25">
      <c r="B77" s="8" t="s">
        <v>485</v>
      </c>
      <c r="C77" s="8"/>
      <c r="D77" s="8"/>
      <c r="E77" s="8"/>
      <c r="F77" s="8"/>
      <c r="G77" s="11" t="s">
        <v>565</v>
      </c>
      <c r="H77" s="147">
        <f>0.003*(H59-H76)/H76</f>
        <v>2.1407584437739789E-2</v>
      </c>
      <c r="I77" s="90"/>
      <c r="J77" s="1"/>
      <c r="L77" s="8"/>
    </row>
    <row r="78" spans="1:14" ht="19.149999999999999" customHeight="1" x14ac:dyDescent="0.25">
      <c r="B78" s="8"/>
      <c r="C78" s="8"/>
      <c r="D78" s="8"/>
      <c r="E78" s="8"/>
      <c r="F78" s="8"/>
      <c r="G78" s="8"/>
      <c r="H78" s="8"/>
      <c r="I78" s="8"/>
      <c r="J78" s="90"/>
      <c r="L78" s="8"/>
    </row>
    <row r="79" spans="1:14" ht="19.149999999999999" customHeight="1" x14ac:dyDescent="0.25">
      <c r="A79" s="63" t="s">
        <v>1338</v>
      </c>
      <c r="B79" s="87" t="s">
        <v>839</v>
      </c>
      <c r="C79" s="8"/>
      <c r="D79" s="8"/>
      <c r="E79" s="8"/>
      <c r="F79" s="8"/>
      <c r="G79" s="8"/>
      <c r="H79" s="8"/>
      <c r="I79" s="8"/>
      <c r="J79" s="90"/>
      <c r="L79" s="8"/>
    </row>
    <row r="80" spans="1:14" ht="19.149999999999999" customHeight="1" x14ac:dyDescent="0.25">
      <c r="B80" s="202" t="s">
        <v>966</v>
      </c>
      <c r="C80" s="8"/>
      <c r="D80" s="8"/>
      <c r="E80" s="8"/>
      <c r="G80" s="11" t="s">
        <v>513</v>
      </c>
      <c r="H80" s="354">
        <f>0.85*H13*H76*H74*H8*1000</f>
        <v>10192.150027781938</v>
      </c>
      <c r="I80" s="90" t="s">
        <v>40</v>
      </c>
      <c r="J80" s="90"/>
      <c r="K80" s="8"/>
      <c r="L80" s="8"/>
    </row>
    <row r="81" spans="2:12" ht="19.149999999999999" customHeight="1" x14ac:dyDescent="0.25">
      <c r="B81" s="8" t="s">
        <v>483</v>
      </c>
      <c r="C81" s="8"/>
      <c r="D81" s="8"/>
      <c r="E81" s="8"/>
      <c r="G81" s="11" t="s">
        <v>967</v>
      </c>
      <c r="H81" s="148">
        <f>H62</f>
        <v>10192.15002778194</v>
      </c>
      <c r="I81" s="90" t="s">
        <v>40</v>
      </c>
      <c r="J81" s="90"/>
      <c r="K81" s="8"/>
      <c r="L81" s="8"/>
    </row>
    <row r="82" spans="2:12" ht="19.149999999999999" customHeight="1" x14ac:dyDescent="0.25">
      <c r="B82" s="8" t="s">
        <v>486</v>
      </c>
      <c r="C82" s="8"/>
      <c r="D82" s="8"/>
      <c r="E82" s="8"/>
      <c r="F82" s="8"/>
      <c r="G82" s="303" t="s">
        <v>1170</v>
      </c>
      <c r="H82" s="355">
        <f>H80*(H59-H13*H76/2)</f>
        <v>20980.052132798355</v>
      </c>
      <c r="I82" s="28" t="s">
        <v>42</v>
      </c>
      <c r="J82" s="1"/>
      <c r="L82" s="8"/>
    </row>
    <row r="83" spans="2:12" ht="19.149999999999999" customHeight="1" x14ac:dyDescent="0.25">
      <c r="B83" s="1" t="s">
        <v>518</v>
      </c>
      <c r="G83" s="2" t="s">
        <v>519</v>
      </c>
      <c r="H83" s="356">
        <f>MAX('Input (1)'!$H$83,'Input (2) &amp; Process (1)'!AA189)</f>
        <v>11768.908605248413</v>
      </c>
      <c r="I83" s="28" t="s">
        <v>42</v>
      </c>
      <c r="J83" s="1"/>
      <c r="K83" s="461">
        <f>2*(H59-(H82/0.9)/H62)</f>
        <v>-0.27433789198562142</v>
      </c>
      <c r="L83" s="8"/>
    </row>
    <row r="84" spans="2:12" ht="19.149999999999999" customHeight="1" x14ac:dyDescent="0.25">
      <c r="B84" s="1" t="s">
        <v>968</v>
      </c>
      <c r="L84" s="8"/>
    </row>
    <row r="85" spans="2:12" ht="19.149999999999999" customHeight="1" x14ac:dyDescent="0.25">
      <c r="B85" s="8" t="s">
        <v>361</v>
      </c>
      <c r="C85" s="3" t="s">
        <v>840</v>
      </c>
      <c r="D85" s="16" t="s">
        <v>362</v>
      </c>
      <c r="E85" s="16" t="s">
        <v>841</v>
      </c>
      <c r="F85" s="11"/>
      <c r="G85" s="89"/>
      <c r="L85" s="8"/>
    </row>
    <row r="86" spans="2:12" ht="19.149999999999999" customHeight="1" x14ac:dyDescent="0.25">
      <c r="B86" s="8"/>
      <c r="C86" s="67">
        <f>H83</f>
        <v>11768.908605248413</v>
      </c>
      <c r="D86" s="3" t="str">
        <f>IF(C86&lt;E86,"&lt;","&gt;")</f>
        <v>&lt;</v>
      </c>
      <c r="E86" s="67">
        <f>H82</f>
        <v>20980.052132798355</v>
      </c>
      <c r="G86" s="192" t="s">
        <v>363</v>
      </c>
      <c r="H86" s="383" t="str">
        <f>IF(C86&lt;E86,"[ OK ]","[NOT OK]")</f>
        <v>[ OK ]</v>
      </c>
      <c r="L86" s="8"/>
    </row>
    <row r="87" spans="2:12" ht="19.149999999999999" customHeight="1" x14ac:dyDescent="0.25">
      <c r="L87" s="8"/>
    </row>
    <row r="88" spans="2:12" ht="19.149999999999999" customHeight="1" x14ac:dyDescent="0.25">
      <c r="B88" s="353" t="s">
        <v>970</v>
      </c>
      <c r="C88" s="202"/>
      <c r="D88" s="202"/>
      <c r="E88" s="202"/>
      <c r="F88" s="303"/>
      <c r="G88" s="357"/>
      <c r="H88" s="8"/>
      <c r="I88" s="8"/>
      <c r="J88" s="90"/>
      <c r="K88" s="8"/>
      <c r="L88" s="8"/>
    </row>
    <row r="89" spans="2:12" ht="19.149999999999999" customHeight="1" x14ac:dyDescent="0.25">
      <c r="B89" s="353"/>
      <c r="C89" s="357" t="s">
        <v>969</v>
      </c>
      <c r="D89" s="202"/>
      <c r="E89" s="357" t="s">
        <v>979</v>
      </c>
      <c r="F89" s="303"/>
      <c r="G89" s="357"/>
    </row>
    <row r="90" spans="2:12" ht="19.149999999999999" customHeight="1" x14ac:dyDescent="0.25">
      <c r="B90" s="202"/>
      <c r="C90" s="358">
        <f>H77</f>
        <v>2.1407584437739789E-2</v>
      </c>
      <c r="D90" s="357" t="str">
        <f>IF(C90&lt;E90,"&lt;","&gt;")</f>
        <v>&gt;</v>
      </c>
      <c r="E90" s="358">
        <f>H5/H2</f>
        <v>8.1865284974093257E-3</v>
      </c>
      <c r="G90" s="192" t="s">
        <v>363</v>
      </c>
      <c r="H90" s="383" t="str">
        <f>IF(C90&gt;E90,"[ OK ]","[NOT OK]")</f>
        <v>[ OK ]</v>
      </c>
    </row>
  </sheetData>
  <mergeCells count="1">
    <mergeCell ref="G49:H49"/>
  </mergeCells>
  <conditionalFormatting sqref="H67:H71">
    <cfRule type="containsText" dxfId="56" priority="1" operator="containsText" text="[ YA ]">
      <formula>NOT(ISERROR(SEARCH("[ YA ]",H67)))</formula>
    </cfRule>
  </conditionalFormatting>
  <conditionalFormatting sqref="H86 H90 H47">
    <cfRule type="containsText" dxfId="55" priority="2" operator="containsText" text="[ NOT OK ]">
      <formula>NOT(ISERROR(SEARCH("[ NOT OK ]",H47)))</formula>
    </cfRule>
    <cfRule type="containsText" dxfId="54" priority="3" operator="containsText" text="[ OK ]">
      <formula>NOT(ISERROR(SEARCH("[ OK ]",H47)))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EE843-DD84-483F-A057-AF5F00B496C3}">
  <sheetPr codeName="Sheet12">
    <tabColor theme="8" tint="0.79998168889431442"/>
  </sheetPr>
  <dimension ref="A1:N111"/>
  <sheetViews>
    <sheetView showGridLines="0" zoomScaleNormal="100" workbookViewId="0"/>
  </sheetViews>
  <sheetFormatPr defaultColWidth="12.85546875" defaultRowHeight="18.75" customHeight="1" x14ac:dyDescent="0.25"/>
  <cols>
    <col min="1" max="1" width="6.5703125" style="1" customWidth="1"/>
    <col min="2" max="10" width="10" style="1" customWidth="1"/>
    <col min="11" max="16384" width="12.85546875" style="1"/>
  </cols>
  <sheetData>
    <row r="1" spans="1:14" ht="19.149999999999999" customHeight="1" x14ac:dyDescent="0.25">
      <c r="A1" s="383" t="s">
        <v>835</v>
      </c>
      <c r="B1" s="87" t="s">
        <v>1243</v>
      </c>
      <c r="C1" s="8"/>
      <c r="D1" s="8"/>
      <c r="E1" s="8"/>
      <c r="F1" s="8"/>
      <c r="G1" s="8"/>
      <c r="H1" s="8"/>
      <c r="I1" s="8"/>
      <c r="J1" s="90"/>
      <c r="K1" s="8"/>
      <c r="L1" s="8"/>
      <c r="M1" s="8"/>
      <c r="N1" s="8"/>
    </row>
    <row r="2" spans="1:14" ht="18.75" customHeight="1" x14ac:dyDescent="0.25">
      <c r="B2" s="1" t="s">
        <v>1171</v>
      </c>
      <c r="H2" s="2" t="s">
        <v>1176</v>
      </c>
      <c r="I2" s="442">
        <f>'Process (2)'!H100</f>
        <v>2.35</v>
      </c>
      <c r="J2" s="28" t="s">
        <v>2</v>
      </c>
    </row>
    <row r="3" spans="1:14" ht="18.75" customHeight="1" x14ac:dyDescent="0.25">
      <c r="B3" s="1" t="s">
        <v>1184</v>
      </c>
      <c r="H3" s="2" t="s">
        <v>1185</v>
      </c>
      <c r="I3" s="451">
        <f>'Process (2)'!F8*1000</f>
        <v>200</v>
      </c>
      <c r="J3" s="28" t="s">
        <v>5</v>
      </c>
    </row>
    <row r="4" spans="1:14" ht="18.75" customHeight="1" x14ac:dyDescent="0.25">
      <c r="B4" s="1" t="s">
        <v>1174</v>
      </c>
      <c r="H4" s="2" t="s">
        <v>1173</v>
      </c>
      <c r="I4" s="451">
        <f>'Input (1)'!H15</f>
        <v>50</v>
      </c>
      <c r="J4" s="28" t="s">
        <v>5</v>
      </c>
    </row>
    <row r="5" spans="1:14" ht="18.75" customHeight="1" x14ac:dyDescent="0.25">
      <c r="H5" s="2"/>
      <c r="I5" s="457"/>
      <c r="J5" s="28"/>
    </row>
    <row r="6" spans="1:14" ht="18.75" customHeight="1" x14ac:dyDescent="0.25">
      <c r="B6" s="1" t="s">
        <v>1175</v>
      </c>
      <c r="H6" s="2" t="s">
        <v>1177</v>
      </c>
      <c r="I6" s="452">
        <v>13</v>
      </c>
      <c r="J6" s="28" t="s">
        <v>5</v>
      </c>
    </row>
    <row r="7" spans="1:14" ht="18.75" customHeight="1" x14ac:dyDescent="0.25">
      <c r="B7" s="1" t="s">
        <v>1198</v>
      </c>
      <c r="H7" s="2" t="s">
        <v>1201</v>
      </c>
      <c r="I7" s="82">
        <v>2</v>
      </c>
      <c r="J7" s="28"/>
    </row>
    <row r="8" spans="1:14" ht="18.75" customHeight="1" x14ac:dyDescent="0.25">
      <c r="B8" s="1" t="s">
        <v>1197</v>
      </c>
      <c r="H8" s="2" t="s">
        <v>1200</v>
      </c>
      <c r="I8" s="73">
        <f>0.25*PI()*I6^2*I7</f>
        <v>265.46457922833753</v>
      </c>
      <c r="J8" s="28" t="s">
        <v>1199</v>
      </c>
    </row>
    <row r="9" spans="1:14" ht="18.75" customHeight="1" x14ac:dyDescent="0.25">
      <c r="H9" s="2"/>
      <c r="I9" s="456"/>
      <c r="J9" s="28"/>
    </row>
    <row r="10" spans="1:14" ht="18.75" customHeight="1" x14ac:dyDescent="0.25">
      <c r="B10" s="1" t="s">
        <v>1202</v>
      </c>
      <c r="H10" s="2" t="s">
        <v>1203</v>
      </c>
      <c r="I10" s="82">
        <v>420</v>
      </c>
      <c r="J10" s="28" t="s">
        <v>28</v>
      </c>
    </row>
    <row r="11" spans="1:14" ht="18.75" customHeight="1" x14ac:dyDescent="0.25">
      <c r="B11" s="444" t="s">
        <v>1195</v>
      </c>
      <c r="H11" s="2" t="s">
        <v>1206</v>
      </c>
      <c r="I11" s="6">
        <f>'Process (7)'!H60</f>
        <v>50000</v>
      </c>
      <c r="J11" s="28" t="s">
        <v>135</v>
      </c>
    </row>
    <row r="12" spans="1:14" ht="18.75" customHeight="1" x14ac:dyDescent="0.25">
      <c r="B12" s="41" t="s">
        <v>373</v>
      </c>
      <c r="H12" s="30" t="s">
        <v>374</v>
      </c>
      <c r="I12" s="6">
        <f>'Input (3) &amp; Process (4)'!H127</f>
        <v>7579.4128750556474</v>
      </c>
      <c r="J12" s="28" t="s">
        <v>40</v>
      </c>
    </row>
    <row r="13" spans="1:14" ht="18.75" customHeight="1" x14ac:dyDescent="0.25">
      <c r="B13" s="8" t="s">
        <v>483</v>
      </c>
      <c r="H13" s="443" t="s">
        <v>967</v>
      </c>
      <c r="I13" s="148">
        <f>'Process (7)'!H62</f>
        <v>10192.15002778194</v>
      </c>
      <c r="J13" s="90" t="s">
        <v>40</v>
      </c>
    </row>
    <row r="14" spans="1:14" ht="18.75" customHeight="1" x14ac:dyDescent="0.25">
      <c r="B14" s="8" t="s">
        <v>961</v>
      </c>
      <c r="H14" s="2" t="s">
        <v>186</v>
      </c>
      <c r="I14" s="6">
        <f>'Process (7)'!H73</f>
        <v>0.18309589721294059</v>
      </c>
      <c r="J14" s="28" t="s">
        <v>2</v>
      </c>
    </row>
    <row r="15" spans="1:14" ht="18.75" customHeight="1" x14ac:dyDescent="0.25">
      <c r="B15" s="8"/>
      <c r="H15" s="2"/>
      <c r="I15" s="455"/>
      <c r="J15" s="28"/>
    </row>
    <row r="16" spans="1:14" ht="18.75" customHeight="1" x14ac:dyDescent="0.25">
      <c r="B16" s="444" t="s">
        <v>587</v>
      </c>
      <c r="H16" s="2" t="s">
        <v>1204</v>
      </c>
      <c r="I16" s="207">
        <f>'Process (7)'!H6*1000</f>
        <v>1860000</v>
      </c>
      <c r="J16" s="28" t="s">
        <v>135</v>
      </c>
    </row>
    <row r="17" spans="2:10" ht="18.75" customHeight="1" x14ac:dyDescent="0.25">
      <c r="B17" s="8" t="s">
        <v>265</v>
      </c>
      <c r="H17" s="2" t="s">
        <v>1205</v>
      </c>
      <c r="I17" s="453">
        <f>'Process (7)'!H7</f>
        <v>6.7115999999999999E-3</v>
      </c>
      <c r="J17" s="28" t="s">
        <v>1191</v>
      </c>
    </row>
    <row r="18" spans="2:10" ht="18.75" customHeight="1" x14ac:dyDescent="0.25">
      <c r="B18" s="8" t="s">
        <v>514</v>
      </c>
      <c r="H18" s="2" t="s">
        <v>247</v>
      </c>
      <c r="I18" s="453">
        <f>'Process (7)'!H2*1000</f>
        <v>193000000</v>
      </c>
      <c r="J18" s="28" t="s">
        <v>135</v>
      </c>
    </row>
    <row r="19" spans="2:10" ht="18.75" customHeight="1" x14ac:dyDescent="0.25">
      <c r="B19" s="444" t="s">
        <v>1192</v>
      </c>
      <c r="H19" s="2" t="s">
        <v>1221</v>
      </c>
      <c r="I19" s="6">
        <v>0</v>
      </c>
      <c r="J19" s="28" t="s">
        <v>40</v>
      </c>
    </row>
    <row r="21" spans="2:10" ht="18.75" customHeight="1" x14ac:dyDescent="0.25">
      <c r="B21" s="28" t="s">
        <v>1241</v>
      </c>
    </row>
    <row r="22" spans="2:10" ht="18.75" customHeight="1" x14ac:dyDescent="0.25">
      <c r="B22" s="1" t="s">
        <v>1182</v>
      </c>
      <c r="G22" s="1" t="s">
        <v>1229</v>
      </c>
    </row>
    <row r="23" spans="2:10" ht="18.75" customHeight="1" x14ac:dyDescent="0.25">
      <c r="B23" s="1" t="s">
        <v>1181</v>
      </c>
      <c r="G23" s="1" t="s">
        <v>1230</v>
      </c>
    </row>
    <row r="24" spans="2:10" ht="18.75" customHeight="1" x14ac:dyDescent="0.25">
      <c r="B24" s="1" t="s">
        <v>1180</v>
      </c>
      <c r="G24" s="1" t="s">
        <v>1231</v>
      </c>
    </row>
    <row r="25" spans="2:10" ht="18.75" customHeight="1" x14ac:dyDescent="0.25">
      <c r="B25" s="1" t="s">
        <v>1220</v>
      </c>
    </row>
    <row r="26" spans="2:10" ht="18.75" customHeight="1" x14ac:dyDescent="0.25">
      <c r="D26" s="1" t="s">
        <v>1232</v>
      </c>
    </row>
    <row r="27" spans="2:10" ht="18.75" customHeight="1" x14ac:dyDescent="0.25">
      <c r="B27" s="1" t="s">
        <v>1222</v>
      </c>
      <c r="G27" s="1" t="s">
        <v>1233</v>
      </c>
    </row>
    <row r="28" spans="2:10" ht="18.75" customHeight="1" x14ac:dyDescent="0.25">
      <c r="B28" s="1" t="s">
        <v>1223</v>
      </c>
      <c r="G28" s="1" t="s">
        <v>1234</v>
      </c>
    </row>
    <row r="29" spans="2:10" ht="18.75" customHeight="1" x14ac:dyDescent="0.25">
      <c r="B29" s="1" t="s">
        <v>1224</v>
      </c>
      <c r="G29" s="1" t="s">
        <v>1235</v>
      </c>
    </row>
    <row r="30" spans="2:10" ht="18.75" customHeight="1" x14ac:dyDescent="0.25">
      <c r="B30" s="1" t="s">
        <v>1225</v>
      </c>
      <c r="G30" s="1" t="s">
        <v>1236</v>
      </c>
    </row>
    <row r="31" spans="2:10" ht="18.75" customHeight="1" x14ac:dyDescent="0.25">
      <c r="B31" s="1" t="s">
        <v>1226</v>
      </c>
      <c r="G31" s="1" t="s">
        <v>1237</v>
      </c>
    </row>
    <row r="32" spans="2:10" ht="18.75" customHeight="1" x14ac:dyDescent="0.25">
      <c r="B32" s="1" t="s">
        <v>1227</v>
      </c>
      <c r="G32" s="1" t="s">
        <v>1238</v>
      </c>
    </row>
    <row r="33" spans="1:14" ht="18.75" customHeight="1" x14ac:dyDescent="0.25">
      <c r="G33" s="1" t="s">
        <v>1239</v>
      </c>
    </row>
    <row r="34" spans="1:14" ht="18.75" customHeight="1" x14ac:dyDescent="0.25">
      <c r="B34" s="1" t="s">
        <v>1228</v>
      </c>
      <c r="G34" s="1" t="s">
        <v>1240</v>
      </c>
    </row>
    <row r="37" spans="1:14" ht="19.149999999999999" customHeight="1" x14ac:dyDescent="0.25">
      <c r="A37" s="383" t="s">
        <v>1340</v>
      </c>
      <c r="B37" s="87" t="s">
        <v>1244</v>
      </c>
      <c r="C37" s="8"/>
      <c r="D37" s="8"/>
      <c r="E37" s="8"/>
      <c r="F37" s="8"/>
      <c r="G37" s="8"/>
      <c r="H37" s="8"/>
      <c r="I37" s="8"/>
      <c r="J37" s="90"/>
      <c r="K37" s="8"/>
      <c r="L37" s="8"/>
      <c r="M37" s="8"/>
      <c r="N37" s="8"/>
    </row>
    <row r="38" spans="1:14" ht="18.75" customHeight="1" x14ac:dyDescent="0.25">
      <c r="B38" s="445"/>
      <c r="C38" s="445" t="s">
        <v>1179</v>
      </c>
      <c r="D38" s="445" t="s">
        <v>1188</v>
      </c>
      <c r="E38" s="445" t="s">
        <v>1178</v>
      </c>
      <c r="F38" s="445" t="s">
        <v>1183</v>
      </c>
      <c r="G38" s="445" t="s">
        <v>1186</v>
      </c>
      <c r="H38" s="445" t="s">
        <v>1187</v>
      </c>
      <c r="I38" s="636" t="s">
        <v>1217</v>
      </c>
      <c r="J38" s="636"/>
    </row>
    <row r="39" spans="1:14" ht="18.75" customHeight="1" x14ac:dyDescent="0.25">
      <c r="B39" s="445"/>
      <c r="C39" s="445" t="s">
        <v>2</v>
      </c>
      <c r="D39" s="445" t="s">
        <v>2</v>
      </c>
      <c r="E39" s="445" t="s">
        <v>2</v>
      </c>
      <c r="F39" s="445" t="s">
        <v>40</v>
      </c>
      <c r="G39" s="445" t="s">
        <v>40</v>
      </c>
      <c r="H39" s="445" t="s">
        <v>42</v>
      </c>
      <c r="I39" s="454" t="s">
        <v>1189</v>
      </c>
      <c r="J39" s="454" t="s">
        <v>1190</v>
      </c>
    </row>
    <row r="40" spans="1:14" ht="18.75" customHeight="1" x14ac:dyDescent="0.25">
      <c r="B40" s="196">
        <f>'Input (2) &amp; Process (1)'!M169</f>
        <v>0</v>
      </c>
      <c r="C40" s="438">
        <f>$I$2-'Process (3)'!O36</f>
        <v>1.3380495369754974</v>
      </c>
      <c r="D40" s="438">
        <f>C40-$I$14</f>
        <v>1.1549536397625568</v>
      </c>
      <c r="E40" s="438">
        <v>0</v>
      </c>
      <c r="F40" s="438">
        <v>0</v>
      </c>
      <c r="G40" s="6">
        <f>'Input (2) &amp; Process (1)'!AA195</f>
        <v>1033.2856000000002</v>
      </c>
      <c r="H40" s="6">
        <f>'Input (2) &amp; Process (1)'!AA169</f>
        <v>0</v>
      </c>
      <c r="I40" s="450"/>
      <c r="J40" s="450"/>
    </row>
    <row r="41" spans="1:14" ht="18.75" customHeight="1" x14ac:dyDescent="0.25">
      <c r="B41" s="196">
        <f>'Input (2) &amp; Process (1)'!M170</f>
        <v>1</v>
      </c>
      <c r="C41" s="438">
        <f>$I$2-'Process (3)'!O37</f>
        <v>1.4172147071203864</v>
      </c>
      <c r="D41" s="438">
        <f t="shared" ref="D41:D60" si="0">C41-$I$14</f>
        <v>1.2341188099074458</v>
      </c>
      <c r="E41" s="438">
        <f t="shared" ref="E41:E60" si="1">SQRT((C41-$C$40)^2+B41^2)</f>
        <v>1.0031286678009304</v>
      </c>
      <c r="F41" s="438">
        <f t="shared" ref="F41:F60" si="2">$I$12*(C41-$C$40)/E41</f>
        <v>598.15408442819717</v>
      </c>
      <c r="G41" s="6">
        <f>'Input (2) &amp; Process (1)'!AA196</f>
        <v>981.6213200000002</v>
      </c>
      <c r="H41" s="6">
        <f>'Input (2) &amp; Process (1)'!AA170</f>
        <v>1036.0615950780434</v>
      </c>
      <c r="I41" s="438">
        <f t="shared" ref="I41:I60" si="3">ABS(H41)/(ABS(G41-F41)*D41)</f>
        <v>2.1892751180573358</v>
      </c>
      <c r="J41" s="207" t="str">
        <f>IF(I41&gt;1,"[ OK ]","[ NOT OK ]")</f>
        <v>[ OK ]</v>
      </c>
    </row>
    <row r="42" spans="1:14" ht="18.75" customHeight="1" x14ac:dyDescent="0.25">
      <c r="B42" s="196">
        <f>'Input (2) &amp; Process (1)'!M171</f>
        <v>2</v>
      </c>
      <c r="C42" s="438">
        <f>$I$2-'Process (3)'!O38</f>
        <v>1.492320124950153</v>
      </c>
      <c r="D42" s="438">
        <f t="shared" si="0"/>
        <v>1.3092242277372124</v>
      </c>
      <c r="E42" s="438">
        <f t="shared" si="1"/>
        <v>2.0059410296202742</v>
      </c>
      <c r="F42" s="438">
        <f t="shared" si="2"/>
        <v>582.90870143817472</v>
      </c>
      <c r="G42" s="6">
        <f>'Input (2) &amp; Process (1)'!AA197</f>
        <v>929.95704000000012</v>
      </c>
      <c r="H42" s="6">
        <f>'Input (2) &amp; Process (1)'!AA171</f>
        <v>2025.0056991228635</v>
      </c>
      <c r="I42" s="438">
        <f t="shared" si="3"/>
        <v>4.4567907766860895</v>
      </c>
      <c r="J42" s="207" t="str">
        <f t="shared" ref="J42:J60" si="4">IF(I42&gt;1,"[ OK ]","[ NOT OK ]")</f>
        <v>[ OK ]</v>
      </c>
    </row>
    <row r="43" spans="1:14" ht="18.75" customHeight="1" x14ac:dyDescent="0.25">
      <c r="B43" s="196">
        <f>'Input (2) &amp; Process (1)'!M172</f>
        <v>3</v>
      </c>
      <c r="C43" s="438">
        <f>$I$2-'Process (3)'!O39</f>
        <v>1.5633657904647968</v>
      </c>
      <c r="D43" s="438">
        <f t="shared" si="0"/>
        <v>1.3802698932518562</v>
      </c>
      <c r="E43" s="438">
        <f t="shared" si="1"/>
        <v>3.0084493371314158</v>
      </c>
      <c r="F43" s="438">
        <f t="shared" si="2"/>
        <v>567.65619802142567</v>
      </c>
      <c r="G43" s="6">
        <f>'Input (2) &amp; Process (1)'!AA198</f>
        <v>878.29276000000016</v>
      </c>
      <c r="H43" s="6">
        <f>'Input (2) &amp; Process (1)'!AA172</f>
        <v>2966.8323121344602</v>
      </c>
      <c r="I43" s="438">
        <f t="shared" si="3"/>
        <v>6.9195270945581875</v>
      </c>
      <c r="J43" s="207" t="str">
        <f t="shared" si="4"/>
        <v>[ OK ]</v>
      </c>
    </row>
    <row r="44" spans="1:14" ht="18.75" customHeight="1" x14ac:dyDescent="0.25">
      <c r="B44" s="196">
        <f>'Input (2) &amp; Process (1)'!M173</f>
        <v>4</v>
      </c>
      <c r="C44" s="438">
        <f>$I$2-'Process (3)'!O40</f>
        <v>1.6303517036643185</v>
      </c>
      <c r="D44" s="438">
        <f t="shared" si="0"/>
        <v>1.4472558064513779</v>
      </c>
      <c r="E44" s="438">
        <f t="shared" si="1"/>
        <v>4.0106658495380767</v>
      </c>
      <c r="F44" s="438">
        <f t="shared" si="2"/>
        <v>552.39675623015989</v>
      </c>
      <c r="G44" s="6">
        <f>'Input (2) &amp; Process (1)'!AA199</f>
        <v>826.6284800000002</v>
      </c>
      <c r="H44" s="6">
        <f>'Input (2) &amp; Process (1)'!AA173</f>
        <v>3861.5414341128326</v>
      </c>
      <c r="I44" s="438">
        <f t="shared" si="3"/>
        <v>9.7296609116585842</v>
      </c>
      <c r="J44" s="207" t="str">
        <f t="shared" si="4"/>
        <v>[ OK ]</v>
      </c>
    </row>
    <row r="45" spans="1:14" ht="18.75" customHeight="1" x14ac:dyDescent="0.25">
      <c r="B45" s="196">
        <f>'Input (2) &amp; Process (1)'!M174</f>
        <v>5</v>
      </c>
      <c r="C45" s="438">
        <f>$I$2-'Process (3)'!O41</f>
        <v>1.6932778645487174</v>
      </c>
      <c r="D45" s="438">
        <f t="shared" si="0"/>
        <v>1.5101819673357768</v>
      </c>
      <c r="E45" s="438">
        <f t="shared" si="1"/>
        <v>5.0126028333302513</v>
      </c>
      <c r="F45" s="438">
        <f t="shared" si="2"/>
        <v>537.13055853742333</v>
      </c>
      <c r="G45" s="6">
        <f>'Input (2) &amp; Process (1)'!AA200</f>
        <v>774.96420000000012</v>
      </c>
      <c r="H45" s="6">
        <f>'Input (2) &amp; Process (1)'!AA174</f>
        <v>4709.1330650579821</v>
      </c>
      <c r="I45" s="438">
        <f t="shared" si="3"/>
        <v>13.111077871437516</v>
      </c>
      <c r="J45" s="207" t="str">
        <f t="shared" si="4"/>
        <v>[ OK ]</v>
      </c>
    </row>
    <row r="46" spans="1:14" ht="18.75" customHeight="1" x14ac:dyDescent="0.25">
      <c r="B46" s="196">
        <f>'Input (2) &amp; Process (1)'!M175</f>
        <v>6</v>
      </c>
      <c r="C46" s="438">
        <f>$I$2-'Process (3)'!O42</f>
        <v>1.7521442731179939</v>
      </c>
      <c r="D46" s="438">
        <f t="shared" si="0"/>
        <v>1.5690483759050533</v>
      </c>
      <c r="E46" s="438">
        <f t="shared" si="1"/>
        <v>6.014272562039479</v>
      </c>
      <c r="F46" s="438">
        <f t="shared" si="2"/>
        <v>521.85778782644513</v>
      </c>
      <c r="G46" s="6">
        <f>'Input (2) &amp; Process (1)'!AA201</f>
        <v>723.29992000000016</v>
      </c>
      <c r="H46" s="6">
        <f>'Input (2) &amp; Process (1)'!AA175</f>
        <v>5509.6072049699087</v>
      </c>
      <c r="I46" s="438">
        <f t="shared" si="3"/>
        <v>17.431469270071787</v>
      </c>
      <c r="J46" s="207" t="str">
        <f t="shared" si="4"/>
        <v>[ OK ]</v>
      </c>
    </row>
    <row r="47" spans="1:14" ht="18.75" customHeight="1" x14ac:dyDescent="0.25">
      <c r="B47" s="196">
        <f>'Input (2) &amp; Process (1)'!M176</f>
        <v>7</v>
      </c>
      <c r="C47" s="438">
        <f>$I$2-'Process (3)'!O43</f>
        <v>1.8069509293721477</v>
      </c>
      <c r="D47" s="438">
        <f t="shared" si="0"/>
        <v>1.6238550321592071</v>
      </c>
      <c r="E47" s="438">
        <f t="shared" si="1"/>
        <v>7.0156873159934596</v>
      </c>
      <c r="F47" s="438">
        <f t="shared" si="2"/>
        <v>506.57862737992139</v>
      </c>
      <c r="G47" s="6">
        <f>'Input (2) &amp; Process (1)'!AA202</f>
        <v>671.63564000000019</v>
      </c>
      <c r="H47" s="6">
        <f>'Input (2) &amp; Process (1)'!AA176</f>
        <v>6262.9638538486106</v>
      </c>
      <c r="I47" s="438">
        <f t="shared" si="3"/>
        <v>23.366769215342355</v>
      </c>
      <c r="J47" s="207" t="str">
        <f t="shared" si="4"/>
        <v>[ OK ]</v>
      </c>
    </row>
    <row r="48" spans="1:14" ht="18.75" customHeight="1" x14ac:dyDescent="0.25">
      <c r="B48" s="196">
        <f>'Input (2) &amp; Process (1)'!M177</f>
        <v>8</v>
      </c>
      <c r="C48" s="438">
        <f>$I$2-'Process (3)'!O44</f>
        <v>1.8576978333111791</v>
      </c>
      <c r="D48" s="438">
        <f t="shared" si="0"/>
        <v>1.6746019360982385</v>
      </c>
      <c r="E48" s="438">
        <f t="shared" si="1"/>
        <v>8.0168593820700487</v>
      </c>
      <c r="F48" s="438">
        <f t="shared" si="2"/>
        <v>491.29326086924539</v>
      </c>
      <c r="G48" s="6">
        <f>'Input (2) &amp; Process (1)'!AA203</f>
        <v>619.97136000000012</v>
      </c>
      <c r="H48" s="6">
        <f>'Input (2) &amp; Process (1)'!AA177</f>
        <v>6969.2030116940905</v>
      </c>
      <c r="I48" s="438">
        <f t="shared" si="3"/>
        <v>32.342001274140593</v>
      </c>
      <c r="J48" s="207" t="str">
        <f t="shared" si="4"/>
        <v>[ OK ]</v>
      </c>
    </row>
    <row r="49" spans="2:10" ht="18.75" customHeight="1" x14ac:dyDescent="0.25">
      <c r="B49" s="196">
        <f>'Input (2) &amp; Process (1)'!M178</f>
        <v>9</v>
      </c>
      <c r="C49" s="438">
        <f>$I$2-'Process (3)'!O45</f>
        <v>1.904384984935088</v>
      </c>
      <c r="D49" s="438">
        <f t="shared" si="0"/>
        <v>1.7212890877221474</v>
      </c>
      <c r="E49" s="438">
        <f t="shared" si="1"/>
        <v>9.017801053450647</v>
      </c>
      <c r="F49" s="438">
        <f t="shared" si="2"/>
        <v>476.00187234368116</v>
      </c>
      <c r="G49" s="6">
        <f>'Input (2) &amp; Process (1)'!AA204</f>
        <v>568.30708000000016</v>
      </c>
      <c r="H49" s="6">
        <f>'Input (2) &amp; Process (1)'!AA178</f>
        <v>7628.3246785063466</v>
      </c>
      <c r="I49" s="438">
        <f t="shared" si="3"/>
        <v>48.011928441897531</v>
      </c>
      <c r="J49" s="207" t="str">
        <f t="shared" si="4"/>
        <v>[ OK ]</v>
      </c>
    </row>
    <row r="50" spans="2:10" ht="18.75" customHeight="1" x14ac:dyDescent="0.25">
      <c r="B50" s="196">
        <f>'Input (2) &amp; Process (1)'!M179</f>
        <v>10</v>
      </c>
      <c r="C50" s="438">
        <f>$I$2-'Process (3)'!O46</f>
        <v>1.9470123842438745</v>
      </c>
      <c r="D50" s="438">
        <f t="shared" si="0"/>
        <v>1.7639164870309338</v>
      </c>
      <c r="E50" s="438">
        <f t="shared" si="1"/>
        <v>10.01852462937299</v>
      </c>
      <c r="F50" s="438">
        <f t="shared" si="2"/>
        <v>460.70464621948514</v>
      </c>
      <c r="G50" s="6">
        <f>'Input (2) &amp; Process (1)'!AA205</f>
        <v>516.64280000000008</v>
      </c>
      <c r="H50" s="6">
        <f>'Input (2) &amp; Process (1)'!AA179</f>
        <v>8240.3288542853788</v>
      </c>
      <c r="I50" s="438">
        <f t="shared" si="3"/>
        <v>83.513828960200797</v>
      </c>
      <c r="J50" s="207" t="str">
        <f t="shared" si="4"/>
        <v>[ OK ]</v>
      </c>
    </row>
    <row r="51" spans="2:10" ht="18.75" customHeight="1" x14ac:dyDescent="0.25">
      <c r="B51" s="196">
        <f>'Input (2) &amp; Process (1)'!M180</f>
        <v>11</v>
      </c>
      <c r="C51" s="438">
        <f>$I$2-'Process (3)'!O47</f>
        <v>1.9855800312375385</v>
      </c>
      <c r="D51" s="438">
        <f t="shared" si="0"/>
        <v>1.8024841340245978</v>
      </c>
      <c r="E51" s="438">
        <f t="shared" si="1"/>
        <v>11.019042414883394</v>
      </c>
      <c r="F51" s="438">
        <f t="shared" si="2"/>
        <v>445.40176726897528</v>
      </c>
      <c r="G51" s="6">
        <f>'Input (2) &amp; Process (1)'!AA206</f>
        <v>464.97852000000006</v>
      </c>
      <c r="H51" s="6">
        <f>'Input (2) &amp; Process (1)'!AA180</f>
        <v>8805.2155390311855</v>
      </c>
      <c r="I51" s="438">
        <f t="shared" si="3"/>
        <v>249.53294104973997</v>
      </c>
      <c r="J51" s="207" t="str">
        <f t="shared" si="4"/>
        <v>[ OK ]</v>
      </c>
    </row>
    <row r="52" spans="2:10" ht="18.75" customHeight="1" x14ac:dyDescent="0.25">
      <c r="B52" s="196">
        <f>'Input (2) &amp; Process (1)'!M181</f>
        <v>12</v>
      </c>
      <c r="C52" s="438">
        <f>$I$2-'Process (3)'!O48</f>
        <v>2.02008792591608</v>
      </c>
      <c r="D52" s="438">
        <f t="shared" si="0"/>
        <v>1.8369920287031394</v>
      </c>
      <c r="E52" s="438">
        <f t="shared" si="1"/>
        <v>12.01936672058843</v>
      </c>
      <c r="F52" s="438">
        <f t="shared" si="2"/>
        <v>430.0934206095497</v>
      </c>
      <c r="G52" s="6">
        <f>'Input (2) &amp; Process (1)'!AA207</f>
        <v>413.3142400000001</v>
      </c>
      <c r="H52" s="6">
        <f>'Input (2) &amp; Process (1)'!AA181</f>
        <v>9322.984732743771</v>
      </c>
      <c r="I52" s="438">
        <f t="shared" si="3"/>
        <v>302.46627126675247</v>
      </c>
      <c r="J52" s="207" t="str">
        <f t="shared" si="4"/>
        <v>[ OK ]</v>
      </c>
    </row>
    <row r="53" spans="2:10" ht="18.75" customHeight="1" x14ac:dyDescent="0.25">
      <c r="B53" s="196">
        <f>'Input (2) &amp; Process (1)'!M182</f>
        <v>13</v>
      </c>
      <c r="C53" s="438">
        <f>$I$2-'Process (3)'!O49</f>
        <v>2.0505360682794986</v>
      </c>
      <c r="D53" s="438">
        <f t="shared" si="0"/>
        <v>1.867440171066558</v>
      </c>
      <c r="E53" s="438">
        <f t="shared" si="1"/>
        <v>13.019509862406096</v>
      </c>
      <c r="F53" s="438">
        <f t="shared" si="2"/>
        <v>414.77979169265637</v>
      </c>
      <c r="G53" s="6">
        <f>'Input (2) &amp; Process (1)'!AA208</f>
        <v>361.64996000000008</v>
      </c>
      <c r="H53" s="6">
        <f>'Input (2) &amp; Process (1)'!AA182</f>
        <v>9793.6364354231337</v>
      </c>
      <c r="I53" s="438">
        <f t="shared" si="3"/>
        <v>98.709474743057683</v>
      </c>
      <c r="J53" s="207" t="str">
        <f t="shared" si="4"/>
        <v>[ OK ]</v>
      </c>
    </row>
    <row r="54" spans="2:10" ht="18.75" customHeight="1" x14ac:dyDescent="0.25">
      <c r="B54" s="196">
        <f>'Input (2) &amp; Process (1)'!M183</f>
        <v>14</v>
      </c>
      <c r="C54" s="438">
        <f>$I$2-'Process (3)'!O50</f>
        <v>2.0769244583277948</v>
      </c>
      <c r="D54" s="438">
        <f t="shared" si="0"/>
        <v>1.8938285611148542</v>
      </c>
      <c r="E54" s="438">
        <f t="shared" si="1"/>
        <v>14.01948416131647</v>
      </c>
      <c r="F54" s="438">
        <f t="shared" si="2"/>
        <v>399.46106629271679</v>
      </c>
      <c r="G54" s="6">
        <f>'Input (2) &amp; Process (1)'!AA209</f>
        <v>309.98568000000006</v>
      </c>
      <c r="H54" s="6">
        <f>'Input (2) &amp; Process (1)'!AA183</f>
        <v>10217.170647069273</v>
      </c>
      <c r="I54" s="438">
        <f t="shared" si="3"/>
        <v>60.29570855262336</v>
      </c>
      <c r="J54" s="207" t="str">
        <f t="shared" si="4"/>
        <v>[ OK ]</v>
      </c>
    </row>
    <row r="55" spans="2:10" ht="18.75" customHeight="1" x14ac:dyDescent="0.25">
      <c r="B55" s="196">
        <f>'Input (2) &amp; Process (1)'!M184</f>
        <v>15</v>
      </c>
      <c r="C55" s="438">
        <f>$I$2-'Process (3)'!O51</f>
        <v>2.099253096060969</v>
      </c>
      <c r="D55" s="438">
        <f t="shared" si="0"/>
        <v>1.9161571988480284</v>
      </c>
      <c r="E55" s="438">
        <f t="shared" si="1"/>
        <v>15.019301943111882</v>
      </c>
      <c r="F55" s="438">
        <f t="shared" si="2"/>
        <v>384.1374304960018</v>
      </c>
      <c r="G55" s="6">
        <f>'Input (2) &amp; Process (1)'!AA210</f>
        <v>258.32140000000004</v>
      </c>
      <c r="H55" s="6">
        <f>'Input (2) &amp; Process (1)'!AA184</f>
        <v>10593.587367682187</v>
      </c>
      <c r="I55" s="438">
        <f t="shared" si="3"/>
        <v>43.941607296609092</v>
      </c>
      <c r="J55" s="207" t="str">
        <f t="shared" si="4"/>
        <v>[ OK ]</v>
      </c>
    </row>
    <row r="56" spans="2:10" ht="18.75" customHeight="1" x14ac:dyDescent="0.25">
      <c r="B56" s="196">
        <f>'Input (2) &amp; Process (1)'!M185</f>
        <v>16</v>
      </c>
      <c r="C56" s="438">
        <f>$I$2-'Process (3)'!O52</f>
        <v>2.1175219814790198</v>
      </c>
      <c r="D56" s="438">
        <f t="shared" si="0"/>
        <v>1.9344260842660792</v>
      </c>
      <c r="E56" s="438">
        <f t="shared" si="1"/>
        <v>16.018975538146638</v>
      </c>
      <c r="F56" s="438">
        <f t="shared" si="2"/>
        <v>368.80907068946266</v>
      </c>
      <c r="G56" s="6">
        <f>'Input (2) &amp; Process (1)'!AA211</f>
        <v>206.65712000000005</v>
      </c>
      <c r="H56" s="6">
        <f>'Input (2) &amp; Process (1)'!AA185</f>
        <v>10922.886597261881</v>
      </c>
      <c r="I56" s="438">
        <f t="shared" si="3"/>
        <v>34.822753409519699</v>
      </c>
      <c r="J56" s="207" t="str">
        <f t="shared" si="4"/>
        <v>[ OK ]</v>
      </c>
    </row>
    <row r="57" spans="2:10" ht="18.75" customHeight="1" x14ac:dyDescent="0.25">
      <c r="B57" s="196">
        <f>'Input (2) &amp; Process (1)'!M186</f>
        <v>17</v>
      </c>
      <c r="C57" s="438">
        <f>$I$2-'Process (3)'!O53</f>
        <v>2.1317311145819486</v>
      </c>
      <c r="D57" s="438">
        <f t="shared" si="0"/>
        <v>1.948635217369008</v>
      </c>
      <c r="E57" s="438">
        <f t="shared" si="1"/>
        <v>17.018517281086265</v>
      </c>
      <c r="F57" s="438">
        <f t="shared" si="2"/>
        <v>353.47617354952354</v>
      </c>
      <c r="G57" s="6">
        <f>'Input (2) &amp; Process (1)'!AA212</f>
        <v>154.99284000000003</v>
      </c>
      <c r="H57" s="6">
        <f>'Input (2) &amp; Process (1)'!AA186</f>
        <v>11205.068335808346</v>
      </c>
      <c r="I57" s="438">
        <f t="shared" si="3"/>
        <v>28.97076190590429</v>
      </c>
      <c r="J57" s="207" t="str">
        <f t="shared" si="4"/>
        <v>[ OK ]</v>
      </c>
    </row>
    <row r="58" spans="2:10" ht="18.75" customHeight="1" x14ac:dyDescent="0.25">
      <c r="B58" s="196">
        <f>'Input (2) &amp; Process (1)'!M187</f>
        <v>18</v>
      </c>
      <c r="C58" s="438">
        <f>$I$2-'Process (3)'!O54</f>
        <v>2.141880495369755</v>
      </c>
      <c r="D58" s="438">
        <f t="shared" si="0"/>
        <v>1.9587845981568144</v>
      </c>
      <c r="E58" s="438">
        <f t="shared" si="1"/>
        <v>18.017939510656401</v>
      </c>
      <c r="F58" s="438">
        <f t="shared" si="2"/>
        <v>338.13892603082678</v>
      </c>
      <c r="G58" s="6">
        <f>'Input (2) &amp; Process (1)'!AA213</f>
        <v>103.32856000000002</v>
      </c>
      <c r="H58" s="6">
        <f>'Input (2) &amp; Process (1)'!AA187</f>
        <v>11440.132583321592</v>
      </c>
      <c r="I58" s="438">
        <f t="shared" si="3"/>
        <v>24.872939391433505</v>
      </c>
      <c r="J58" s="207" t="str">
        <f t="shared" si="4"/>
        <v>[ OK ]</v>
      </c>
    </row>
    <row r="59" spans="2:10" ht="18.75" customHeight="1" x14ac:dyDescent="0.25">
      <c r="B59" s="196">
        <f>'Input (2) &amp; Process (1)'!M188</f>
        <v>19</v>
      </c>
      <c r="C59" s="438">
        <f>$I$2-'Process (3)'!O55</f>
        <v>2.1479701238424389</v>
      </c>
      <c r="D59" s="438">
        <f t="shared" si="0"/>
        <v>1.9648742266294983</v>
      </c>
      <c r="E59" s="438">
        <f t="shared" si="1"/>
        <v>19.017254569391209</v>
      </c>
      <c r="F59" s="438">
        <f t="shared" si="2"/>
        <v>322.79751535494319</v>
      </c>
      <c r="G59" s="6">
        <f>'Input (2) &amp; Process (1)'!AA214</f>
        <v>51.664280000000012</v>
      </c>
      <c r="H59" s="6">
        <f>'Input (2) &amp; Process (1)'!AA188</f>
        <v>11628.079339801612</v>
      </c>
      <c r="I59" s="438">
        <f t="shared" si="3"/>
        <v>21.826820350552584</v>
      </c>
      <c r="J59" s="207" t="str">
        <f t="shared" si="4"/>
        <v>[ OK ]</v>
      </c>
    </row>
    <row r="60" spans="2:10" ht="18.75" customHeight="1" x14ac:dyDescent="0.25">
      <c r="B60" s="196">
        <f>'Input (2) &amp; Process (1)'!M189</f>
        <v>20</v>
      </c>
      <c r="C60" s="438">
        <f>$I$2-'Process (3)'!O56</f>
        <v>2.1500000000000004</v>
      </c>
      <c r="D60" s="438">
        <f t="shared" si="0"/>
        <v>1.9669041027870597</v>
      </c>
      <c r="E60" s="438">
        <f t="shared" si="1"/>
        <v>20.016474803381481</v>
      </c>
      <c r="F60" s="438">
        <f t="shared" si="2"/>
        <v>307.45212899904175</v>
      </c>
      <c r="G60" s="6">
        <f>'Input (2) &amp; Process (1)'!AA215</f>
        <v>3.0515199301858855</v>
      </c>
      <c r="H60" s="6">
        <f>'Input (2) &amp; Process (1)'!AA189</f>
        <v>11768.908605248413</v>
      </c>
      <c r="I60" s="438">
        <f t="shared" si="3"/>
        <v>19.656558667891698</v>
      </c>
      <c r="J60" s="207" t="str">
        <f t="shared" si="4"/>
        <v>[ OK ]</v>
      </c>
    </row>
    <row r="62" spans="2:10" ht="18.75" customHeight="1" x14ac:dyDescent="0.25">
      <c r="B62" s="446"/>
      <c r="C62" s="637" t="s">
        <v>1218</v>
      </c>
      <c r="D62" s="638"/>
      <c r="E62" s="458" t="s">
        <v>1194</v>
      </c>
      <c r="F62" s="458" t="s">
        <v>1207</v>
      </c>
      <c r="G62" s="445" t="s">
        <v>1219</v>
      </c>
      <c r="H62" s="636" t="s">
        <v>1216</v>
      </c>
      <c r="I62" s="636"/>
      <c r="J62" s="445" t="s">
        <v>1196</v>
      </c>
    </row>
    <row r="63" spans="2:10" ht="18.75" customHeight="1" x14ac:dyDescent="0.25">
      <c r="B63" s="446"/>
      <c r="C63" s="445" t="s">
        <v>1189</v>
      </c>
      <c r="D63" s="445" t="s">
        <v>1193</v>
      </c>
      <c r="E63" s="448"/>
      <c r="F63" s="449" t="s">
        <v>1208</v>
      </c>
      <c r="G63" s="445" t="s">
        <v>40</v>
      </c>
      <c r="H63" s="454" t="s">
        <v>1189</v>
      </c>
      <c r="I63" s="454" t="s">
        <v>1190</v>
      </c>
      <c r="J63" s="445" t="s">
        <v>40</v>
      </c>
    </row>
    <row r="64" spans="2:10" ht="18.75" customHeight="1" x14ac:dyDescent="0.25">
      <c r="B64" s="196">
        <f>B40</f>
        <v>0</v>
      </c>
      <c r="C64" s="20">
        <f>(ABS(H40)/D40-0.5*$I$19+ABS(G40-F40)-$I$17*0.7*$I$16)/($I$18*$I$17)</f>
        <v>-5.9484187457366361E-3</v>
      </c>
      <c r="D64" s="20">
        <f>IF(C64&lt;0,0,C64)</f>
        <v>0</v>
      </c>
      <c r="E64" s="438">
        <f>4.8/(1+750*D64)</f>
        <v>4.8</v>
      </c>
      <c r="F64" s="6">
        <f>29+3500*D64</f>
        <v>29</v>
      </c>
      <c r="G64" s="438">
        <f t="shared" ref="G64:G84" si="5">$I$3*D40*1000*SQRT($I$11/1000)*0.083*E64/1000</f>
        <v>650.72707874372816</v>
      </c>
      <c r="H64" s="438">
        <f t="shared" ref="H64:H84" si="6">G40/(0.5*0.75*(G64+F40))</f>
        <v>4.2343839017521825</v>
      </c>
      <c r="I64" s="207" t="str">
        <f>IF(H64&gt;1,"[ Perlu ]","[ Tidak ]")</f>
        <v>[ Perlu ]</v>
      </c>
      <c r="J64" s="438">
        <f t="shared" ref="J64:J84" si="7">IF(H64&gt;1,IF((G40/0.75-G64-F40)&gt;0,(G40/0.75-G64-F40),0),0)</f>
        <v>726.98705458960546</v>
      </c>
    </row>
    <row r="65" spans="2:10" ht="18.75" customHeight="1" x14ac:dyDescent="0.25">
      <c r="B65" s="196">
        <f t="shared" ref="B65:B84" si="8">B41</f>
        <v>1</v>
      </c>
      <c r="C65" s="20">
        <f t="shared" ref="C65:C84" si="9">(ABS(H41)/D41+0.5*$I$19+ABS(G41-F41)-$I$17*0.7*$I$16)/($I$18*$I$17)</f>
        <v>-5.8019729564192908E-3</v>
      </c>
      <c r="D65" s="20">
        <f>IF(C65&lt;0,0,C65)</f>
        <v>0</v>
      </c>
      <c r="E65" s="438">
        <f t="shared" ref="E65:E84" si="10">4.8/(1+750*D65)</f>
        <v>4.8</v>
      </c>
      <c r="F65" s="6">
        <f t="shared" ref="F65:F84" si="11">29+3500*D65</f>
        <v>29</v>
      </c>
      <c r="G65" s="438">
        <f t="shared" si="5"/>
        <v>695.33053132666009</v>
      </c>
      <c r="H65" s="438">
        <f t="shared" si="6"/>
        <v>2.023724767538662</v>
      </c>
      <c r="I65" s="207" t="str">
        <f t="shared" ref="I65:I84" si="12">IF(H65&gt;1,"[ Perlu ]","[ Tidak ]")</f>
        <v>[ Perlu ]</v>
      </c>
      <c r="J65" s="438">
        <f t="shared" si="7"/>
        <v>15.343810911809669</v>
      </c>
    </row>
    <row r="66" spans="2:10" ht="18.75" customHeight="1" x14ac:dyDescent="0.25">
      <c r="B66" s="196">
        <f t="shared" si="8"/>
        <v>2</v>
      </c>
      <c r="C66" s="20">
        <f t="shared" si="9"/>
        <v>-5.2841256874816061E-3</v>
      </c>
      <c r="D66" s="20">
        <f t="shared" ref="D66:D84" si="13">IF(C66&lt;0,0,C66)</f>
        <v>0</v>
      </c>
      <c r="E66" s="438">
        <f t="shared" si="10"/>
        <v>4.8</v>
      </c>
      <c r="F66" s="6">
        <f t="shared" si="11"/>
        <v>29</v>
      </c>
      <c r="G66" s="438">
        <f t="shared" si="5"/>
        <v>737.6466273668774</v>
      </c>
      <c r="H66" s="438">
        <f t="shared" si="6"/>
        <v>1.8779110468957074</v>
      </c>
      <c r="I66" s="207" t="str">
        <f t="shared" si="12"/>
        <v>[ Perlu ]</v>
      </c>
      <c r="J66" s="438">
        <f t="shared" si="7"/>
        <v>0</v>
      </c>
    </row>
    <row r="67" spans="2:10" ht="18.75" customHeight="1" x14ac:dyDescent="0.25">
      <c r="B67" s="196">
        <f t="shared" si="8"/>
        <v>3</v>
      </c>
      <c r="C67" s="20">
        <f t="shared" si="9"/>
        <v>-4.8469238556355099E-3</v>
      </c>
      <c r="D67" s="20">
        <f t="shared" si="13"/>
        <v>0</v>
      </c>
      <c r="E67" s="438">
        <f t="shared" si="10"/>
        <v>4.8</v>
      </c>
      <c r="F67" s="6">
        <f t="shared" si="11"/>
        <v>29</v>
      </c>
      <c r="G67" s="438">
        <f t="shared" si="5"/>
        <v>777.67536686438029</v>
      </c>
      <c r="H67" s="438">
        <f t="shared" si="6"/>
        <v>1.7409195530660648</v>
      </c>
      <c r="I67" s="207" t="str">
        <f t="shared" si="12"/>
        <v>[ Perlu ]</v>
      </c>
      <c r="J67" s="438">
        <f t="shared" si="7"/>
        <v>0</v>
      </c>
    </row>
    <row r="68" spans="2:10" ht="18.75" customHeight="1" x14ac:dyDescent="0.25">
      <c r="B68" s="196">
        <f t="shared" si="8"/>
        <v>4</v>
      </c>
      <c r="C68" s="20">
        <f t="shared" si="9"/>
        <v>-4.4745743682888138E-3</v>
      </c>
      <c r="D68" s="20">
        <f t="shared" si="13"/>
        <v>0</v>
      </c>
      <c r="E68" s="438">
        <f t="shared" si="10"/>
        <v>4.8</v>
      </c>
      <c r="F68" s="6">
        <f t="shared" si="11"/>
        <v>29</v>
      </c>
      <c r="G68" s="438">
        <f t="shared" si="5"/>
        <v>815.41674981916913</v>
      </c>
      <c r="H68" s="438">
        <f t="shared" si="6"/>
        <v>1.6115812598606087</v>
      </c>
      <c r="I68" s="207" t="str">
        <f t="shared" si="12"/>
        <v>[ Perlu ]</v>
      </c>
      <c r="J68" s="438">
        <f t="shared" si="7"/>
        <v>0</v>
      </c>
    </row>
    <row r="69" spans="2:10" ht="18.75" customHeight="1" x14ac:dyDescent="0.25">
      <c r="B69" s="196">
        <f t="shared" si="8"/>
        <v>5</v>
      </c>
      <c r="C69" s="20">
        <f t="shared" si="9"/>
        <v>-4.1552172797371832E-3</v>
      </c>
      <c r="D69" s="20">
        <f t="shared" si="13"/>
        <v>0</v>
      </c>
      <c r="E69" s="438">
        <f t="shared" si="10"/>
        <v>4.8</v>
      </c>
      <c r="F69" s="6">
        <f t="shared" si="11"/>
        <v>29</v>
      </c>
      <c r="G69" s="438">
        <f t="shared" si="5"/>
        <v>850.87077623124321</v>
      </c>
      <c r="H69" s="438">
        <f t="shared" si="6"/>
        <v>1.4888827180734869</v>
      </c>
      <c r="I69" s="207" t="str">
        <f t="shared" si="12"/>
        <v>[ Perlu ]</v>
      </c>
      <c r="J69" s="438">
        <f t="shared" si="7"/>
        <v>0</v>
      </c>
    </row>
    <row r="70" spans="2:10" ht="18.75" customHeight="1" x14ac:dyDescent="0.25">
      <c r="B70" s="196">
        <f t="shared" si="8"/>
        <v>6</v>
      </c>
      <c r="C70" s="20">
        <f t="shared" si="9"/>
        <v>-3.8797793528190321E-3</v>
      </c>
      <c r="D70" s="20">
        <f t="shared" si="13"/>
        <v>0</v>
      </c>
      <c r="E70" s="438">
        <f t="shared" si="10"/>
        <v>4.8</v>
      </c>
      <c r="F70" s="6">
        <f t="shared" si="11"/>
        <v>29</v>
      </c>
      <c r="G70" s="438">
        <f t="shared" si="5"/>
        <v>884.03744610060289</v>
      </c>
      <c r="H70" s="438">
        <f t="shared" si="6"/>
        <v>1.3719370690794677</v>
      </c>
      <c r="I70" s="207" t="str">
        <f t="shared" si="12"/>
        <v>[ Perlu ]</v>
      </c>
      <c r="J70" s="438">
        <f t="shared" si="7"/>
        <v>0</v>
      </c>
    </row>
    <row r="71" spans="2:10" ht="18.75" customHeight="1" x14ac:dyDescent="0.25">
      <c r="B71" s="196">
        <f t="shared" si="8"/>
        <v>7</v>
      </c>
      <c r="C71" s="20">
        <f t="shared" si="9"/>
        <v>-3.6412072780593681E-3</v>
      </c>
      <c r="D71" s="20">
        <f t="shared" si="13"/>
        <v>0</v>
      </c>
      <c r="E71" s="438">
        <f t="shared" si="10"/>
        <v>4.8</v>
      </c>
      <c r="F71" s="6">
        <f t="shared" si="11"/>
        <v>29</v>
      </c>
      <c r="G71" s="438">
        <f t="shared" si="5"/>
        <v>914.91675942724805</v>
      </c>
      <c r="H71" s="438">
        <f t="shared" si="6"/>
        <v>1.2599607356842539</v>
      </c>
      <c r="I71" s="207" t="str">
        <f t="shared" si="12"/>
        <v>[ Perlu ]</v>
      </c>
      <c r="J71" s="438">
        <f t="shared" si="7"/>
        <v>0</v>
      </c>
    </row>
    <row r="72" spans="2:10" ht="18.75" customHeight="1" x14ac:dyDescent="0.25">
      <c r="B72" s="196">
        <f t="shared" si="8"/>
        <v>8</v>
      </c>
      <c r="C72" s="20">
        <f t="shared" si="9"/>
        <v>-3.4339416489557674E-3</v>
      </c>
      <c r="D72" s="20">
        <f t="shared" si="13"/>
        <v>0</v>
      </c>
      <c r="E72" s="438">
        <f t="shared" si="10"/>
        <v>4.8</v>
      </c>
      <c r="F72" s="6">
        <f t="shared" si="11"/>
        <v>29</v>
      </c>
      <c r="G72" s="438">
        <f t="shared" si="5"/>
        <v>943.50871621117858</v>
      </c>
      <c r="H72" s="438">
        <f t="shared" si="6"/>
        <v>1.1522544479371954</v>
      </c>
      <c r="I72" s="207" t="str">
        <f t="shared" si="12"/>
        <v>[ Perlu ]</v>
      </c>
      <c r="J72" s="438">
        <f t="shared" si="7"/>
        <v>0</v>
      </c>
    </row>
    <row r="73" spans="2:10" ht="18.75" customHeight="1" x14ac:dyDescent="0.25">
      <c r="B73" s="196">
        <f t="shared" si="8"/>
        <v>9</v>
      </c>
      <c r="C73" s="20">
        <f t="shared" si="9"/>
        <v>-3.2535480042240683E-3</v>
      </c>
      <c r="D73" s="20">
        <f t="shared" si="13"/>
        <v>0</v>
      </c>
      <c r="E73" s="438">
        <f t="shared" si="10"/>
        <v>4.8</v>
      </c>
      <c r="F73" s="6">
        <f t="shared" si="11"/>
        <v>29</v>
      </c>
      <c r="G73" s="438">
        <f t="shared" si="5"/>
        <v>969.81331645239493</v>
      </c>
      <c r="H73" s="438">
        <f t="shared" si="6"/>
        <v>1.0481875957663751</v>
      </c>
      <c r="I73" s="207" t="str">
        <f t="shared" si="12"/>
        <v>[ Perlu ]</v>
      </c>
      <c r="J73" s="438">
        <f t="shared" si="7"/>
        <v>0</v>
      </c>
    </row>
    <row r="74" spans="2:10" ht="18.75" customHeight="1" x14ac:dyDescent="0.25">
      <c r="B74" s="196">
        <f t="shared" si="8"/>
        <v>10</v>
      </c>
      <c r="C74" s="20">
        <f t="shared" si="9"/>
        <v>-3.0964529426927923E-3</v>
      </c>
      <c r="D74" s="20">
        <f t="shared" si="13"/>
        <v>0</v>
      </c>
      <c r="E74" s="438">
        <f t="shared" si="10"/>
        <v>4.8</v>
      </c>
      <c r="F74" s="6">
        <f t="shared" si="11"/>
        <v>29</v>
      </c>
      <c r="G74" s="438">
        <f t="shared" si="5"/>
        <v>993.83056015089664</v>
      </c>
      <c r="H74" s="438">
        <f t="shared" si="6"/>
        <v>0.94718514017357747</v>
      </c>
      <c r="I74" s="207" t="str">
        <f t="shared" si="12"/>
        <v>[ Tidak ]</v>
      </c>
      <c r="J74" s="438">
        <f t="shared" si="7"/>
        <v>0</v>
      </c>
    </row>
    <row r="75" spans="2:10" ht="18.75" customHeight="1" x14ac:dyDescent="0.25">
      <c r="B75" s="196">
        <f t="shared" si="8"/>
        <v>11</v>
      </c>
      <c r="C75" s="20">
        <f t="shared" si="9"/>
        <v>-2.9597521220647688E-3</v>
      </c>
      <c r="D75" s="20">
        <f t="shared" si="13"/>
        <v>0</v>
      </c>
      <c r="E75" s="438">
        <f t="shared" si="10"/>
        <v>4.8</v>
      </c>
      <c r="F75" s="6">
        <f t="shared" si="11"/>
        <v>29</v>
      </c>
      <c r="G75" s="438">
        <f t="shared" si="5"/>
        <v>1015.5604473066842</v>
      </c>
      <c r="H75" s="438">
        <f t="shared" si="6"/>
        <v>0.84871648809900613</v>
      </c>
      <c r="I75" s="207" t="str">
        <f t="shared" si="12"/>
        <v>[ Tidak ]</v>
      </c>
      <c r="J75" s="438">
        <f t="shared" si="7"/>
        <v>0</v>
      </c>
    </row>
    <row r="76" spans="2:10" ht="18.75" customHeight="1" x14ac:dyDescent="0.25">
      <c r="B76" s="196">
        <f t="shared" si="8"/>
        <v>12</v>
      </c>
      <c r="C76" s="20">
        <f t="shared" si="9"/>
        <v>-2.8151614276578358E-3</v>
      </c>
      <c r="D76" s="20">
        <f t="shared" si="13"/>
        <v>0</v>
      </c>
      <c r="E76" s="438">
        <f t="shared" si="10"/>
        <v>4.8</v>
      </c>
      <c r="F76" s="6">
        <f t="shared" si="11"/>
        <v>29</v>
      </c>
      <c r="G76" s="438">
        <f t="shared" si="5"/>
        <v>1035.0029779197573</v>
      </c>
      <c r="H76" s="438">
        <f t="shared" si="6"/>
        <v>0.75228586171739187</v>
      </c>
      <c r="I76" s="207" t="str">
        <f t="shared" si="12"/>
        <v>[ Tidak ]</v>
      </c>
      <c r="J76" s="438">
        <f t="shared" si="7"/>
        <v>0</v>
      </c>
    </row>
    <row r="77" spans="2:10" ht="18.75" customHeight="1" x14ac:dyDescent="0.25">
      <c r="B77" s="196">
        <f t="shared" si="8"/>
        <v>13</v>
      </c>
      <c r="C77" s="20">
        <f t="shared" si="9"/>
        <v>-2.6564135875017264E-3</v>
      </c>
      <c r="D77" s="20">
        <f t="shared" si="13"/>
        <v>0</v>
      </c>
      <c r="E77" s="438">
        <f t="shared" si="10"/>
        <v>4.8</v>
      </c>
      <c r="F77" s="6">
        <f t="shared" si="11"/>
        <v>29</v>
      </c>
      <c r="G77" s="438">
        <f t="shared" si="5"/>
        <v>1052.1581519901154</v>
      </c>
      <c r="H77" s="438">
        <f t="shared" si="6"/>
        <v>0.65742378366203535</v>
      </c>
      <c r="I77" s="207" t="str">
        <f t="shared" si="12"/>
        <v>[ Tidak ]</v>
      </c>
      <c r="J77" s="438">
        <f t="shared" si="7"/>
        <v>0</v>
      </c>
    </row>
    <row r="78" spans="2:10" ht="18.75" customHeight="1" x14ac:dyDescent="0.25">
      <c r="B78" s="196">
        <f t="shared" si="8"/>
        <v>14</v>
      </c>
      <c r="C78" s="20">
        <f t="shared" si="9"/>
        <v>-2.5121196085288603E-3</v>
      </c>
      <c r="D78" s="20">
        <f t="shared" si="13"/>
        <v>0</v>
      </c>
      <c r="E78" s="438">
        <f t="shared" si="10"/>
        <v>4.8</v>
      </c>
      <c r="F78" s="6">
        <f t="shared" si="11"/>
        <v>29</v>
      </c>
      <c r="G78" s="438">
        <f t="shared" si="5"/>
        <v>1067.0259695177592</v>
      </c>
      <c r="H78" s="438">
        <f t="shared" si="6"/>
        <v>0.56367936423191878</v>
      </c>
      <c r="I78" s="207" t="str">
        <f t="shared" si="12"/>
        <v>[ Tidak ]</v>
      </c>
      <c r="J78" s="438">
        <f t="shared" si="7"/>
        <v>0</v>
      </c>
    </row>
    <row r="79" spans="2:10" ht="18.75" customHeight="1" x14ac:dyDescent="0.25">
      <c r="B79" s="196">
        <f t="shared" si="8"/>
        <v>15</v>
      </c>
      <c r="C79" s="20">
        <f t="shared" si="9"/>
        <v>-2.3809435537872361E-3</v>
      </c>
      <c r="D79" s="20">
        <f t="shared" si="13"/>
        <v>0</v>
      </c>
      <c r="E79" s="438">
        <f t="shared" si="10"/>
        <v>4.8</v>
      </c>
      <c r="F79" s="6">
        <f t="shared" si="11"/>
        <v>29</v>
      </c>
      <c r="G79" s="438">
        <f t="shared" si="5"/>
        <v>1079.6064305026891</v>
      </c>
      <c r="H79" s="438">
        <f t="shared" si="6"/>
        <v>0.47061312092996227</v>
      </c>
      <c r="I79" s="207" t="str">
        <f t="shared" si="12"/>
        <v>[ Tidak ]</v>
      </c>
      <c r="J79" s="438">
        <f t="shared" si="7"/>
        <v>0</v>
      </c>
    </row>
    <row r="80" spans="2:10" ht="18.75" customHeight="1" x14ac:dyDescent="0.25">
      <c r="B80" s="196">
        <f t="shared" si="8"/>
        <v>16</v>
      </c>
      <c r="C80" s="20">
        <f t="shared" si="9"/>
        <v>-2.2617819026024555E-3</v>
      </c>
      <c r="D80" s="20">
        <f t="shared" si="13"/>
        <v>0</v>
      </c>
      <c r="E80" s="438">
        <f t="shared" si="10"/>
        <v>4.8</v>
      </c>
      <c r="F80" s="6">
        <f t="shared" si="11"/>
        <v>29</v>
      </c>
      <c r="G80" s="438">
        <f t="shared" si="5"/>
        <v>1089.8995349449037</v>
      </c>
      <c r="H80" s="438">
        <f t="shared" si="6"/>
        <v>0.37779008857884688</v>
      </c>
      <c r="I80" s="207" t="str">
        <f t="shared" si="12"/>
        <v>[ Tidak ]</v>
      </c>
      <c r="J80" s="438">
        <f t="shared" si="7"/>
        <v>0</v>
      </c>
    </row>
    <row r="81" spans="2:10" ht="18.75" customHeight="1" x14ac:dyDescent="0.25">
      <c r="B81" s="196">
        <f t="shared" si="8"/>
        <v>17</v>
      </c>
      <c r="C81" s="20">
        <f t="shared" si="9"/>
        <v>-2.1537272471858679E-3</v>
      </c>
      <c r="D81" s="20">
        <f t="shared" si="13"/>
        <v>0</v>
      </c>
      <c r="E81" s="438">
        <f t="shared" si="10"/>
        <v>4.8</v>
      </c>
      <c r="F81" s="6">
        <f t="shared" si="11"/>
        <v>29</v>
      </c>
      <c r="G81" s="438">
        <f t="shared" si="5"/>
        <v>1097.9052828444042</v>
      </c>
      <c r="H81" s="438">
        <f t="shared" si="6"/>
        <v>0.28477299208914525</v>
      </c>
      <c r="I81" s="207" t="str">
        <f t="shared" si="12"/>
        <v>[ Tidak ]</v>
      </c>
      <c r="J81" s="438">
        <f t="shared" si="7"/>
        <v>0</v>
      </c>
    </row>
    <row r="82" spans="2:10" ht="18.75" customHeight="1" x14ac:dyDescent="0.25">
      <c r="B82" s="196">
        <f t="shared" si="8"/>
        <v>18</v>
      </c>
      <c r="C82" s="20">
        <f t="shared" si="9"/>
        <v>-2.0560403434252889E-3</v>
      </c>
      <c r="D82" s="20">
        <f t="shared" si="13"/>
        <v>0</v>
      </c>
      <c r="E82" s="438">
        <f t="shared" si="10"/>
        <v>4.8</v>
      </c>
      <c r="F82" s="6">
        <f t="shared" si="11"/>
        <v>29</v>
      </c>
      <c r="G82" s="438">
        <f t="shared" si="5"/>
        <v>1103.6236742011904</v>
      </c>
      <c r="H82" s="438">
        <f t="shared" si="6"/>
        <v>0.19111525477379199</v>
      </c>
      <c r="I82" s="207" t="str">
        <f t="shared" si="12"/>
        <v>[ Tidak ]</v>
      </c>
      <c r="J82" s="438">
        <f t="shared" si="7"/>
        <v>0</v>
      </c>
    </row>
    <row r="83" spans="2:10" ht="18.75" customHeight="1" x14ac:dyDescent="0.25">
      <c r="B83" s="196">
        <f t="shared" si="8"/>
        <v>19</v>
      </c>
      <c r="C83" s="20">
        <f t="shared" si="9"/>
        <v>-1.9681287594323729E-3</v>
      </c>
      <c r="D83" s="20">
        <f t="shared" si="13"/>
        <v>0</v>
      </c>
      <c r="E83" s="438">
        <f t="shared" si="10"/>
        <v>4.8</v>
      </c>
      <c r="F83" s="6">
        <f t="shared" si="11"/>
        <v>29</v>
      </c>
      <c r="G83" s="438">
        <f t="shared" si="5"/>
        <v>1107.0547090152622</v>
      </c>
      <c r="H83" s="438">
        <f t="shared" si="6"/>
        <v>9.6353602830541688E-2</v>
      </c>
      <c r="I83" s="207" t="str">
        <f t="shared" si="12"/>
        <v>[ Tidak ]</v>
      </c>
      <c r="J83" s="438">
        <f t="shared" si="7"/>
        <v>0</v>
      </c>
    </row>
    <row r="84" spans="2:10" ht="18.75" customHeight="1" x14ac:dyDescent="0.25">
      <c r="B84" s="196">
        <f t="shared" si="8"/>
        <v>20</v>
      </c>
      <c r="C84" s="20">
        <f t="shared" si="9"/>
        <v>-1.8918866324603349E-3</v>
      </c>
      <c r="D84" s="20">
        <f t="shared" si="13"/>
        <v>0</v>
      </c>
      <c r="E84" s="438">
        <f t="shared" si="10"/>
        <v>4.8</v>
      </c>
      <c r="F84" s="6">
        <f t="shared" si="11"/>
        <v>29</v>
      </c>
      <c r="G84" s="438">
        <f t="shared" si="5"/>
        <v>1108.1983872866194</v>
      </c>
      <c r="H84" s="438">
        <f t="shared" si="6"/>
        <v>5.7481605713296463E-3</v>
      </c>
      <c r="I84" s="207" t="str">
        <f t="shared" si="12"/>
        <v>[ Tidak ]</v>
      </c>
      <c r="J84" s="438">
        <f t="shared" si="7"/>
        <v>0</v>
      </c>
    </row>
    <row r="86" spans="2:10" ht="18.75" customHeight="1" x14ac:dyDescent="0.25">
      <c r="B86" s="446"/>
      <c r="C86" s="639" t="s">
        <v>1210</v>
      </c>
      <c r="D86" s="639"/>
      <c r="E86" s="445" t="s">
        <v>1211</v>
      </c>
      <c r="F86" s="445" t="s">
        <v>1212</v>
      </c>
      <c r="G86" s="445" t="s">
        <v>1213</v>
      </c>
      <c r="H86" s="447" t="s">
        <v>1214</v>
      </c>
      <c r="I86" s="640" t="s">
        <v>1215</v>
      </c>
      <c r="J86" s="640"/>
    </row>
    <row r="87" spans="2:10" ht="18.75" customHeight="1" x14ac:dyDescent="0.25">
      <c r="B87" s="446"/>
      <c r="C87" s="445" t="s">
        <v>1209</v>
      </c>
      <c r="D87" s="445" t="s">
        <v>1193</v>
      </c>
      <c r="E87" s="445" t="s">
        <v>40</v>
      </c>
      <c r="F87" s="445" t="s">
        <v>40</v>
      </c>
      <c r="G87" s="445" t="s">
        <v>40</v>
      </c>
      <c r="H87" s="445" t="s">
        <v>40</v>
      </c>
      <c r="I87" s="454" t="s">
        <v>1189</v>
      </c>
      <c r="J87" s="454" t="s">
        <v>1190</v>
      </c>
    </row>
    <row r="88" spans="2:10" ht="18.75" customHeight="1" x14ac:dyDescent="0.25">
      <c r="B88" s="196">
        <f>B64</f>
        <v>0</v>
      </c>
      <c r="C88" s="451">
        <f>IF(J64=0,"-",I8*I10*D40*1000*_xlfn.COT(RADIANS(F64))/(J64*1000))</f>
        <v>319.552173663156</v>
      </c>
      <c r="D88" s="207">
        <f>IF(C88="-",200,IF(C88&gt;=200,200,ROUNDDOWN(C88/50,0)*50))</f>
        <v>200</v>
      </c>
      <c r="E88" s="6">
        <f t="shared" ref="E88:E108" si="14">$I$8*$I$10*D40*1000*_xlfn.COT(RADIANS(F64))/D88/1000</f>
        <v>1161.5514675954194</v>
      </c>
      <c r="F88" s="438">
        <f t="shared" ref="F88:F108" si="15">G64+E88+F40</f>
        <v>1812.2785463391474</v>
      </c>
      <c r="G88" s="438">
        <f t="shared" ref="G88:G108" si="16">0.25*$I$11*$I$3/1000+F40</f>
        <v>2500</v>
      </c>
      <c r="H88" s="438">
        <f>0.75*MIN(F88:G88)</f>
        <v>1359.2089097543605</v>
      </c>
      <c r="I88" s="438">
        <f t="shared" ref="I88:I108" si="17">H88/G40</f>
        <v>1.3154242251652015</v>
      </c>
      <c r="J88" s="207" t="str">
        <f>IF(I88&gt;=1,"[ OK ]","[ NOT ]")</f>
        <v>[ OK ]</v>
      </c>
    </row>
    <row r="89" spans="2:10" ht="18.75" customHeight="1" x14ac:dyDescent="0.25">
      <c r="B89" s="196">
        <f t="shared" ref="B89:B108" si="18">B65</f>
        <v>1</v>
      </c>
      <c r="C89" s="451">
        <f>IF(J65=0,"-",I10*I3*D41*1000*_xlfn.COT(RADIANS(F65))/(J65*1000))</f>
        <v>12188.522111622618</v>
      </c>
      <c r="D89" s="207">
        <f t="shared" ref="D89:D108" si="19">IF(C89="-",200,IF(C89&gt;=200,200,ROUNDDOWN(C89/50,0)*50))</f>
        <v>200</v>
      </c>
      <c r="E89" s="6">
        <f t="shared" si="14"/>
        <v>1241.1688794104439</v>
      </c>
      <c r="F89" s="438">
        <f t="shared" si="15"/>
        <v>2534.6534951653011</v>
      </c>
      <c r="G89" s="438">
        <f t="shared" si="16"/>
        <v>3098.1540844281972</v>
      </c>
      <c r="H89" s="438">
        <f t="shared" ref="H89:H108" si="20">0.75*MIN(F89:G89)</f>
        <v>1900.9901213739759</v>
      </c>
      <c r="I89" s="438">
        <f t="shared" si="17"/>
        <v>1.9365819411644152</v>
      </c>
      <c r="J89" s="207" t="str">
        <f t="shared" ref="J89:J108" si="21">IF(I89&gt;=1,"[ OK ]","[ NOT ]")</f>
        <v>[ OK ]</v>
      </c>
    </row>
    <row r="90" spans="2:10" ht="18.75" customHeight="1" x14ac:dyDescent="0.25">
      <c r="B90" s="196">
        <f t="shared" si="18"/>
        <v>2</v>
      </c>
      <c r="C90" s="451" t="str">
        <f>IF(J66=0,"-",I3*I12*D42*1000*_xlfn.COT(RADIANS(F66))/(J66*1000))</f>
        <v>-</v>
      </c>
      <c r="D90" s="207">
        <f t="shared" si="19"/>
        <v>200</v>
      </c>
      <c r="E90" s="6">
        <f t="shared" si="14"/>
        <v>1316.7033470298259</v>
      </c>
      <c r="F90" s="438">
        <f t="shared" si="15"/>
        <v>2637.258675834878</v>
      </c>
      <c r="G90" s="438">
        <f t="shared" si="16"/>
        <v>3082.9087014381748</v>
      </c>
      <c r="H90" s="438">
        <f t="shared" si="20"/>
        <v>1977.9440068761585</v>
      </c>
      <c r="I90" s="438">
        <f t="shared" si="17"/>
        <v>2.1269197627410383</v>
      </c>
      <c r="J90" s="207" t="str">
        <f t="shared" si="21"/>
        <v>[ OK ]</v>
      </c>
    </row>
    <row r="91" spans="2:10" ht="18.75" customHeight="1" x14ac:dyDescent="0.25">
      <c r="B91" s="196">
        <f t="shared" si="18"/>
        <v>3</v>
      </c>
      <c r="C91" s="451" t="str">
        <f>IF(J67=0,"-",I12*I13*D43*1000*_xlfn.COT(RADIANS(F67))/(J67*1000))</f>
        <v>-</v>
      </c>
      <c r="D91" s="207">
        <f t="shared" si="19"/>
        <v>200</v>
      </c>
      <c r="E91" s="6">
        <f t="shared" si="14"/>
        <v>1388.1548704535655</v>
      </c>
      <c r="F91" s="438">
        <f t="shared" si="15"/>
        <v>2733.4864353393714</v>
      </c>
      <c r="G91" s="438">
        <f t="shared" si="16"/>
        <v>3067.6561980214256</v>
      </c>
      <c r="H91" s="438">
        <f t="shared" si="20"/>
        <v>2050.1148265045285</v>
      </c>
      <c r="I91" s="438">
        <f t="shared" si="17"/>
        <v>2.3342044018494792</v>
      </c>
      <c r="J91" s="207" t="str">
        <f t="shared" si="21"/>
        <v>[ OK ]</v>
      </c>
    </row>
    <row r="92" spans="2:10" ht="18.75" customHeight="1" x14ac:dyDescent="0.25">
      <c r="B92" s="196">
        <f t="shared" si="18"/>
        <v>4</v>
      </c>
      <c r="C92" s="451" t="str">
        <f>IF(J68=0,"-",I13*I14*D44*1000*_xlfn.COT(RADIANS(F68))/(J68*1000))</f>
        <v>-</v>
      </c>
      <c r="D92" s="207">
        <f t="shared" si="19"/>
        <v>200</v>
      </c>
      <c r="E92" s="6">
        <f t="shared" si="14"/>
        <v>1455.5234496816634</v>
      </c>
      <c r="F92" s="438">
        <f t="shared" si="15"/>
        <v>2823.3369557309925</v>
      </c>
      <c r="G92" s="438">
        <f t="shared" si="16"/>
        <v>3052.39675623016</v>
      </c>
      <c r="H92" s="438">
        <f t="shared" si="20"/>
        <v>2117.5027167982444</v>
      </c>
      <c r="I92" s="438">
        <f t="shared" si="17"/>
        <v>2.5616135519529206</v>
      </c>
      <c r="J92" s="207" t="str">
        <f t="shared" si="21"/>
        <v>[ OK ]</v>
      </c>
    </row>
    <row r="93" spans="2:10" ht="18.75" customHeight="1" x14ac:dyDescent="0.25">
      <c r="B93" s="196">
        <f t="shared" si="18"/>
        <v>5</v>
      </c>
      <c r="C93" s="451" t="str">
        <f>IF(J69=0,"-",I14*I16*D45*1000*_xlfn.COT(RADIANS(F69))/(J69*1000))</f>
        <v>-</v>
      </c>
      <c r="D93" s="207">
        <f t="shared" si="19"/>
        <v>200</v>
      </c>
      <c r="E93" s="6">
        <f t="shared" si="14"/>
        <v>1518.8090847141189</v>
      </c>
      <c r="F93" s="438">
        <f t="shared" si="15"/>
        <v>2906.8104194827856</v>
      </c>
      <c r="G93" s="438">
        <f t="shared" si="16"/>
        <v>3037.1305585374234</v>
      </c>
      <c r="H93" s="438">
        <f t="shared" si="20"/>
        <v>2180.107814612089</v>
      </c>
      <c r="I93" s="438">
        <f t="shared" si="17"/>
        <v>2.8131722918453379</v>
      </c>
      <c r="J93" s="207" t="str">
        <f t="shared" si="21"/>
        <v>[ OK ]</v>
      </c>
    </row>
    <row r="94" spans="2:10" ht="18.75" customHeight="1" x14ac:dyDescent="0.25">
      <c r="B94" s="196">
        <f t="shared" si="18"/>
        <v>6</v>
      </c>
      <c r="C94" s="451" t="str">
        <f>IF(J70=0,"-",I16*I17*D46*1000*_xlfn.COT(RADIANS(F70))/(J70*1000))</f>
        <v>-</v>
      </c>
      <c r="D94" s="207">
        <f t="shared" si="19"/>
        <v>200</v>
      </c>
      <c r="E94" s="6">
        <f t="shared" si="14"/>
        <v>1578.0117755509316</v>
      </c>
      <c r="F94" s="438">
        <f t="shared" si="15"/>
        <v>2983.9070094779795</v>
      </c>
      <c r="G94" s="438">
        <f t="shared" si="16"/>
        <v>3021.857787826445</v>
      </c>
      <c r="H94" s="438">
        <f t="shared" si="20"/>
        <v>2237.9302571084845</v>
      </c>
      <c r="I94" s="438">
        <f t="shared" si="17"/>
        <v>3.0940557232585952</v>
      </c>
      <c r="J94" s="207" t="str">
        <f t="shared" si="21"/>
        <v>[ OK ]</v>
      </c>
    </row>
    <row r="95" spans="2:10" ht="18.75" customHeight="1" x14ac:dyDescent="0.25">
      <c r="B95" s="196">
        <f t="shared" si="18"/>
        <v>7</v>
      </c>
      <c r="C95" s="451" t="str">
        <f>IF(J71=0,"-",I17*I18*D47*1000*_xlfn.COT(RADIANS(F71))/(J71*1000))</f>
        <v>-</v>
      </c>
      <c r="D95" s="207">
        <f t="shared" si="19"/>
        <v>200</v>
      </c>
      <c r="E95" s="6">
        <f t="shared" si="14"/>
        <v>1633.1315221921025</v>
      </c>
      <c r="F95" s="438">
        <f t="shared" si="15"/>
        <v>3054.626908999272</v>
      </c>
      <c r="G95" s="438">
        <f t="shared" si="16"/>
        <v>3006.5786273799213</v>
      </c>
      <c r="H95" s="438">
        <f t="shared" si="20"/>
        <v>2254.9339705349412</v>
      </c>
      <c r="I95" s="438">
        <f t="shared" si="17"/>
        <v>3.3573768815111427</v>
      </c>
      <c r="J95" s="207" t="str">
        <f t="shared" si="21"/>
        <v>[ OK ]</v>
      </c>
    </row>
    <row r="96" spans="2:10" ht="18.75" customHeight="1" x14ac:dyDescent="0.25">
      <c r="B96" s="196">
        <f t="shared" si="18"/>
        <v>8</v>
      </c>
      <c r="C96" s="451" t="str">
        <f>IF(J72=0,"-",I18*I19*D48*1000*_xlfn.COT(RADIANS(F72))/(J72*1000))</f>
        <v>-</v>
      </c>
      <c r="D96" s="207">
        <f t="shared" si="19"/>
        <v>200</v>
      </c>
      <c r="E96" s="6">
        <f t="shared" si="14"/>
        <v>1684.168324637631</v>
      </c>
      <c r="F96" s="438">
        <f t="shared" si="15"/>
        <v>3118.970301718055</v>
      </c>
      <c r="G96" s="438">
        <f t="shared" si="16"/>
        <v>2991.2932608692454</v>
      </c>
      <c r="H96" s="438">
        <f t="shared" si="20"/>
        <v>2243.4699456519338</v>
      </c>
      <c r="I96" s="438">
        <f t="shared" si="17"/>
        <v>3.6186670714142881</v>
      </c>
      <c r="J96" s="207" t="str">
        <f t="shared" si="21"/>
        <v>[ OK ]</v>
      </c>
    </row>
    <row r="97" spans="1:14" ht="18.75" customHeight="1" x14ac:dyDescent="0.25">
      <c r="B97" s="196">
        <f t="shared" si="18"/>
        <v>9</v>
      </c>
      <c r="C97" s="451" t="str">
        <f>IF(J73=0,"-",I19*I11*D49*1000*_xlfn.COT(RADIANS(F73))/(J73*1000))</f>
        <v>-</v>
      </c>
      <c r="D97" s="207">
        <f t="shared" si="19"/>
        <v>200</v>
      </c>
      <c r="E97" s="6">
        <f t="shared" si="14"/>
        <v>1731.1221828875171</v>
      </c>
      <c r="F97" s="438">
        <f t="shared" si="15"/>
        <v>3176.937371683593</v>
      </c>
      <c r="G97" s="438">
        <f t="shared" si="16"/>
        <v>2976.001872343681</v>
      </c>
      <c r="H97" s="438">
        <f t="shared" si="20"/>
        <v>2232.0014042577609</v>
      </c>
      <c r="I97" s="438">
        <f t="shared" si="17"/>
        <v>3.9274566212649686</v>
      </c>
      <c r="J97" s="207" t="str">
        <f t="shared" si="21"/>
        <v>[ OK ]</v>
      </c>
    </row>
    <row r="98" spans="1:14" ht="18.75" customHeight="1" x14ac:dyDescent="0.25">
      <c r="B98" s="196">
        <f t="shared" si="18"/>
        <v>10</v>
      </c>
      <c r="C98" s="451" t="str">
        <f>IF(J74=0,"-",I11*#REF!*D50*1000*_xlfn.COT(RADIANS(F74))/(J74*1000))</f>
        <v>-</v>
      </c>
      <c r="D98" s="207">
        <f t="shared" si="19"/>
        <v>200</v>
      </c>
      <c r="E98" s="6">
        <f t="shared" si="14"/>
        <v>1773.9930969417615</v>
      </c>
      <c r="F98" s="438">
        <f t="shared" si="15"/>
        <v>3228.5283033121436</v>
      </c>
      <c r="G98" s="438">
        <f t="shared" si="16"/>
        <v>2960.7046462194853</v>
      </c>
      <c r="H98" s="438">
        <f t="shared" si="20"/>
        <v>2220.5284846646141</v>
      </c>
      <c r="I98" s="438">
        <f t="shared" si="17"/>
        <v>4.2979956067608294</v>
      </c>
      <c r="J98" s="207" t="str">
        <f t="shared" si="21"/>
        <v>[ OK ]</v>
      </c>
    </row>
    <row r="99" spans="1:14" ht="18.75" customHeight="1" x14ac:dyDescent="0.25">
      <c r="B99" s="196">
        <f t="shared" si="18"/>
        <v>11</v>
      </c>
      <c r="C99" s="451" t="str">
        <f>IF(J75=0,"-",#REF!*#REF!*D51*1000*_xlfn.COT(RADIANS(F75))/(J75*1000))</f>
        <v>-</v>
      </c>
      <c r="D99" s="207">
        <f t="shared" si="19"/>
        <v>200</v>
      </c>
      <c r="E99" s="6">
        <f t="shared" si="14"/>
        <v>1812.7810668003631</v>
      </c>
      <c r="F99" s="438">
        <f t="shared" si="15"/>
        <v>3273.7432813760224</v>
      </c>
      <c r="G99" s="438">
        <f t="shared" si="16"/>
        <v>2945.4017672689752</v>
      </c>
      <c r="H99" s="438">
        <f t="shared" si="20"/>
        <v>2209.0513254517314</v>
      </c>
      <c r="I99" s="438">
        <f t="shared" si="17"/>
        <v>4.7508674711505625</v>
      </c>
      <c r="J99" s="207" t="str">
        <f t="shared" si="21"/>
        <v>[ OK ]</v>
      </c>
    </row>
    <row r="100" spans="1:14" ht="18.75" customHeight="1" x14ac:dyDescent="0.25">
      <c r="B100" s="196">
        <f t="shared" si="18"/>
        <v>12</v>
      </c>
      <c r="C100" s="451" t="str">
        <f>IF(J76=0,"-",#REF!*#REF!*D52*1000*_xlfn.COT(RADIANS(F76))/(J76*1000))</f>
        <v>-</v>
      </c>
      <c r="D100" s="207">
        <f t="shared" si="19"/>
        <v>200</v>
      </c>
      <c r="E100" s="6">
        <f t="shared" si="14"/>
        <v>1847.4860924633228</v>
      </c>
      <c r="F100" s="438">
        <f t="shared" si="15"/>
        <v>3312.58249099263</v>
      </c>
      <c r="G100" s="438">
        <f t="shared" si="16"/>
        <v>2930.0934206095499</v>
      </c>
      <c r="H100" s="438">
        <f t="shared" si="20"/>
        <v>2197.5700654571624</v>
      </c>
      <c r="I100" s="438">
        <f t="shared" si="17"/>
        <v>5.3169473799333939</v>
      </c>
      <c r="J100" s="207" t="str">
        <f t="shared" si="21"/>
        <v>[ OK ]</v>
      </c>
    </row>
    <row r="101" spans="1:14" ht="18.75" customHeight="1" x14ac:dyDescent="0.25">
      <c r="B101" s="196">
        <f t="shared" si="18"/>
        <v>13</v>
      </c>
      <c r="C101" s="451" t="str">
        <f>IF(J77=0,"-",#REF!*I20*D53*1000*_xlfn.COT(RADIANS(F77))/(J77*1000))</f>
        <v>-</v>
      </c>
      <c r="D101" s="207">
        <f t="shared" si="19"/>
        <v>200</v>
      </c>
      <c r="E101" s="6">
        <f t="shared" si="14"/>
        <v>1878.1081739306396</v>
      </c>
      <c r="F101" s="438">
        <f t="shared" si="15"/>
        <v>3345.0461176134113</v>
      </c>
      <c r="G101" s="438">
        <f t="shared" si="16"/>
        <v>2914.7797916926565</v>
      </c>
      <c r="H101" s="438">
        <f t="shared" si="20"/>
        <v>2186.0848437694922</v>
      </c>
      <c r="I101" s="438">
        <f t="shared" si="17"/>
        <v>6.0447534510151524</v>
      </c>
      <c r="J101" s="207" t="str">
        <f t="shared" si="21"/>
        <v>[ OK ]</v>
      </c>
    </row>
    <row r="102" spans="1:14" ht="18.75" customHeight="1" x14ac:dyDescent="0.25">
      <c r="B102" s="196">
        <f t="shared" si="18"/>
        <v>14</v>
      </c>
      <c r="C102" s="451" t="str">
        <f>IF(J78=0,"-",I20*I21*D54*1000*_xlfn.COT(RADIANS(F78))/(J78*1000))</f>
        <v>-</v>
      </c>
      <c r="D102" s="207">
        <f t="shared" si="19"/>
        <v>200</v>
      </c>
      <c r="E102" s="6">
        <f t="shared" si="14"/>
        <v>1904.6473112023141</v>
      </c>
      <c r="F102" s="438">
        <f t="shared" si="15"/>
        <v>3371.1343470127899</v>
      </c>
      <c r="G102" s="438">
        <f t="shared" si="16"/>
        <v>2899.4610662927166</v>
      </c>
      <c r="H102" s="438">
        <f t="shared" si="20"/>
        <v>2174.5957997195374</v>
      </c>
      <c r="I102" s="438">
        <f t="shared" si="17"/>
        <v>7.0151492150203101</v>
      </c>
      <c r="J102" s="207" t="str">
        <f t="shared" si="21"/>
        <v>[ OK ]</v>
      </c>
    </row>
    <row r="103" spans="1:14" ht="18.75" customHeight="1" x14ac:dyDescent="0.25">
      <c r="B103" s="196">
        <f t="shared" si="18"/>
        <v>15</v>
      </c>
      <c r="C103" s="451" t="str">
        <f>IF(J79=0,"-",I21*I22*D55*1000*_xlfn.COT(RADIANS(F79))/(J79*1000))</f>
        <v>-</v>
      </c>
      <c r="D103" s="207">
        <f t="shared" si="19"/>
        <v>200</v>
      </c>
      <c r="E103" s="6">
        <f t="shared" si="14"/>
        <v>1927.1035042783471</v>
      </c>
      <c r="F103" s="438">
        <f t="shared" si="15"/>
        <v>3390.8473652770381</v>
      </c>
      <c r="G103" s="438">
        <f t="shared" si="16"/>
        <v>2884.1374304960018</v>
      </c>
      <c r="H103" s="438">
        <f t="shared" si="20"/>
        <v>2163.1030728720016</v>
      </c>
      <c r="I103" s="438">
        <f t="shared" si="17"/>
        <v>8.3736890279783296</v>
      </c>
      <c r="J103" s="207" t="str">
        <f t="shared" si="21"/>
        <v>[ OK ]</v>
      </c>
    </row>
    <row r="104" spans="1:14" ht="18.75" customHeight="1" x14ac:dyDescent="0.25">
      <c r="B104" s="196">
        <f t="shared" si="18"/>
        <v>16</v>
      </c>
      <c r="C104" s="451" t="str">
        <f>IF(J80=0,"-",I22*I23*D56*1000*_xlfn.COT(RADIANS(F80))/(J80*1000))</f>
        <v>-</v>
      </c>
      <c r="D104" s="207">
        <f t="shared" si="19"/>
        <v>200</v>
      </c>
      <c r="E104" s="6">
        <f t="shared" si="14"/>
        <v>1945.4767531587368</v>
      </c>
      <c r="F104" s="438">
        <f t="shared" si="15"/>
        <v>3404.1853587931032</v>
      </c>
      <c r="G104" s="438">
        <f t="shared" si="16"/>
        <v>2868.8090706894627</v>
      </c>
      <c r="H104" s="438">
        <f t="shared" si="20"/>
        <v>2151.6068030170973</v>
      </c>
      <c r="I104" s="438">
        <f t="shared" si="17"/>
        <v>10.411481603039357</v>
      </c>
      <c r="J104" s="207" t="str">
        <f t="shared" si="21"/>
        <v>[ OK ]</v>
      </c>
    </row>
    <row r="105" spans="1:14" ht="18.75" customHeight="1" x14ac:dyDescent="0.25">
      <c r="B105" s="196">
        <f t="shared" si="18"/>
        <v>17</v>
      </c>
      <c r="C105" s="451" t="str">
        <f>IF(J81=0,"-",I23*I36*D57*1000*_xlfn.COT(RADIANS(F81))/(J81*1000))</f>
        <v>-</v>
      </c>
      <c r="D105" s="207">
        <f t="shared" si="19"/>
        <v>200</v>
      </c>
      <c r="E105" s="6">
        <f t="shared" si="14"/>
        <v>1959.767057843485</v>
      </c>
      <c r="F105" s="438">
        <f t="shared" si="15"/>
        <v>3411.1485142374127</v>
      </c>
      <c r="G105" s="438">
        <f t="shared" si="16"/>
        <v>2853.4761735495235</v>
      </c>
      <c r="H105" s="438">
        <f t="shared" si="20"/>
        <v>2140.1071301621428</v>
      </c>
      <c r="I105" s="438">
        <f t="shared" si="17"/>
        <v>13.807780605621153</v>
      </c>
      <c r="J105" s="207" t="str">
        <f t="shared" si="21"/>
        <v>[ OK ]</v>
      </c>
    </row>
    <row r="106" spans="1:14" ht="18.75" customHeight="1" x14ac:dyDescent="0.25">
      <c r="B106" s="196">
        <f t="shared" si="18"/>
        <v>18</v>
      </c>
      <c r="C106" s="451" t="str">
        <f>IF(J82=0,"-",I36*I38*D58*1000*_xlfn.COT(RADIANS(F82))/(J82*1000))</f>
        <v>-</v>
      </c>
      <c r="D106" s="207">
        <f t="shared" si="19"/>
        <v>200</v>
      </c>
      <c r="E106" s="6">
        <f t="shared" si="14"/>
        <v>1969.9744183325904</v>
      </c>
      <c r="F106" s="438">
        <f t="shared" si="15"/>
        <v>3411.7370185646078</v>
      </c>
      <c r="G106" s="438">
        <f t="shared" si="16"/>
        <v>2838.138926030827</v>
      </c>
      <c r="H106" s="438">
        <f t="shared" si="20"/>
        <v>2128.60419452312</v>
      </c>
      <c r="I106" s="438">
        <f t="shared" si="17"/>
        <v>20.600347033996403</v>
      </c>
      <c r="J106" s="207" t="str">
        <f t="shared" si="21"/>
        <v>[ OK ]</v>
      </c>
    </row>
    <row r="107" spans="1:14" ht="18.75" customHeight="1" x14ac:dyDescent="0.25">
      <c r="B107" s="196">
        <f t="shared" si="18"/>
        <v>19</v>
      </c>
      <c r="C107" s="451" t="str">
        <f t="shared" ref="C107:C108" si="22">IF(J83=0,"-",I38*I39*D59*1000*_xlfn.COT(RADIANS(F83))/(J83*1000))</f>
        <v>-</v>
      </c>
      <c r="D107" s="207">
        <f t="shared" si="19"/>
        <v>200</v>
      </c>
      <c r="E107" s="6">
        <f t="shared" si="14"/>
        <v>1976.098834626054</v>
      </c>
      <c r="F107" s="438">
        <f t="shared" si="15"/>
        <v>3405.9510589962592</v>
      </c>
      <c r="G107" s="438">
        <f t="shared" si="16"/>
        <v>2822.7975153549432</v>
      </c>
      <c r="H107" s="438">
        <f t="shared" si="20"/>
        <v>2117.0981365162074</v>
      </c>
      <c r="I107" s="438">
        <f t="shared" si="17"/>
        <v>40.97798588340352</v>
      </c>
      <c r="J107" s="207" t="str">
        <f t="shared" si="21"/>
        <v>[ OK ]</v>
      </c>
    </row>
    <row r="108" spans="1:14" ht="18.75" customHeight="1" x14ac:dyDescent="0.25">
      <c r="B108" s="196">
        <f t="shared" si="18"/>
        <v>20</v>
      </c>
      <c r="C108" s="451" t="str">
        <f t="shared" si="22"/>
        <v>-</v>
      </c>
      <c r="D108" s="207">
        <f t="shared" si="19"/>
        <v>200</v>
      </c>
      <c r="E108" s="6">
        <f t="shared" si="14"/>
        <v>1978.1403067238755</v>
      </c>
      <c r="F108" s="438">
        <f t="shared" si="15"/>
        <v>3393.7908230095363</v>
      </c>
      <c r="G108" s="438">
        <f t="shared" si="16"/>
        <v>2807.4521289990416</v>
      </c>
      <c r="H108" s="438">
        <f t="shared" si="20"/>
        <v>2105.5890967492815</v>
      </c>
      <c r="I108" s="438">
        <f t="shared" si="17"/>
        <v>690.01322125430715</v>
      </c>
      <c r="J108" s="207" t="str">
        <f t="shared" si="21"/>
        <v>[ OK ]</v>
      </c>
    </row>
    <row r="111" spans="1:14" ht="19.149999999999999" customHeight="1" x14ac:dyDescent="0.25">
      <c r="A111" s="383" t="s">
        <v>838</v>
      </c>
      <c r="B111" s="87" t="s">
        <v>1245</v>
      </c>
      <c r="C111" s="8"/>
      <c r="D111" s="8"/>
      <c r="E111" s="8"/>
      <c r="F111" s="8"/>
      <c r="G111" s="8"/>
      <c r="H111" s="8"/>
      <c r="I111" s="8"/>
      <c r="J111" s="90"/>
      <c r="K111" s="8"/>
      <c r="L111" s="8"/>
      <c r="M111" s="8"/>
      <c r="N111" s="8"/>
    </row>
  </sheetData>
  <mergeCells count="5">
    <mergeCell ref="I38:J38"/>
    <mergeCell ref="C62:D62"/>
    <mergeCell ref="H62:I62"/>
    <mergeCell ref="C86:D86"/>
    <mergeCell ref="I86:J86"/>
  </mergeCells>
  <conditionalFormatting sqref="J41:J60 J88:J108">
    <cfRule type="containsText" dxfId="53" priority="3" operator="containsText" text="[ NOT OK ]">
      <formula>NOT(ISERROR(SEARCH("[ NOT OK ]",J41)))</formula>
    </cfRule>
    <cfRule type="containsText" dxfId="52" priority="4" operator="containsText" text="[ OK ]">
      <formula>NOT(ISERROR(SEARCH("[ OK ]",J41)))</formula>
    </cfRule>
  </conditionalFormatting>
  <conditionalFormatting sqref="I64:I84">
    <cfRule type="containsText" dxfId="51" priority="1" operator="containsText" text="[ Tidak ]">
      <formula>NOT(ISERROR(SEARCH("[ Tidak ]",I64)))</formula>
    </cfRule>
    <cfRule type="containsText" dxfId="50" priority="2" operator="containsText" text="[ Perlu ]">
      <formula>NOT(ISERROR(SEARCH("[ Perlu ]",I64)))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3B12-F164-4A09-B53E-2A653585B6B0}">
  <sheetPr>
    <tabColor rgb="FFFFC000"/>
  </sheetPr>
  <dimension ref="B1:K265"/>
  <sheetViews>
    <sheetView showGridLines="0" workbookViewId="0"/>
  </sheetViews>
  <sheetFormatPr defaultRowHeight="18.75" customHeight="1" x14ac:dyDescent="0.25"/>
  <cols>
    <col min="1" max="2" width="5.7109375" style="1" customWidth="1"/>
    <col min="3" max="10" width="10" style="1" customWidth="1"/>
    <col min="11" max="16384" width="9.140625" style="1"/>
  </cols>
  <sheetData>
    <row r="1" spans="2:10" ht="18.75" customHeight="1" x14ac:dyDescent="0.25">
      <c r="B1" s="568" t="s">
        <v>1253</v>
      </c>
      <c r="C1" s="569" t="s">
        <v>1278</v>
      </c>
      <c r="D1" s="570"/>
      <c r="E1" s="570"/>
      <c r="F1" s="570"/>
      <c r="G1" s="570"/>
      <c r="H1" s="571"/>
      <c r="I1" s="572"/>
      <c r="J1" s="573"/>
    </row>
    <row r="12" spans="2:10" ht="18.75" customHeight="1" x14ac:dyDescent="0.25">
      <c r="C12" s="42"/>
      <c r="D12" s="42"/>
      <c r="E12" s="42"/>
      <c r="F12" s="649" t="s">
        <v>44</v>
      </c>
      <c r="G12" s="541" t="s">
        <v>45</v>
      </c>
      <c r="H12" s="651" t="s">
        <v>44</v>
      </c>
      <c r="I12" s="542" t="s">
        <v>47</v>
      </c>
      <c r="J12" s="119"/>
    </row>
    <row r="13" spans="2:10" ht="18.75" customHeight="1" x14ac:dyDescent="0.25">
      <c r="C13" s="42"/>
      <c r="D13" s="42"/>
      <c r="E13" s="42"/>
      <c r="F13" s="650"/>
      <c r="G13" s="511" t="s">
        <v>46</v>
      </c>
      <c r="H13" s="610"/>
      <c r="I13" s="543" t="s">
        <v>46</v>
      </c>
      <c r="J13" s="119"/>
    </row>
    <row r="14" spans="2:10" ht="18.75" customHeight="1" x14ac:dyDescent="0.25">
      <c r="C14" s="42"/>
      <c r="D14" s="42"/>
      <c r="E14" s="42"/>
      <c r="F14" s="544" t="s">
        <v>48</v>
      </c>
      <c r="G14" s="15">
        <f>'Process (2)'!F5</f>
        <v>0.64</v>
      </c>
      <c r="H14" s="13" t="s">
        <v>54</v>
      </c>
      <c r="I14" s="545">
        <f>'Process (2)'!H5</f>
        <v>7.0000000000000007E-2</v>
      </c>
      <c r="J14" s="119"/>
    </row>
    <row r="15" spans="2:10" ht="18.75" customHeight="1" x14ac:dyDescent="0.25">
      <c r="C15" s="42"/>
      <c r="D15" s="42"/>
      <c r="E15" s="42"/>
      <c r="F15" s="544" t="s">
        <v>49</v>
      </c>
      <c r="G15" s="15">
        <f>'Process (2)'!F6</f>
        <v>0.8</v>
      </c>
      <c r="H15" s="13" t="s">
        <v>55</v>
      </c>
      <c r="I15" s="545">
        <f>'Process (2)'!H6</f>
        <v>0.13</v>
      </c>
      <c r="J15" s="119"/>
    </row>
    <row r="16" spans="2:10" ht="18.75" customHeight="1" x14ac:dyDescent="0.25">
      <c r="C16" s="42"/>
      <c r="D16" s="42"/>
      <c r="E16" s="42"/>
      <c r="F16" s="544" t="s">
        <v>50</v>
      </c>
      <c r="G16" s="15">
        <f>'Process (2)'!F7</f>
        <v>0.30000000000000004</v>
      </c>
      <c r="H16" s="13" t="s">
        <v>56</v>
      </c>
      <c r="I16" s="545">
        <f>'Process (2)'!H7</f>
        <v>0.12</v>
      </c>
      <c r="J16" s="119"/>
    </row>
    <row r="17" spans="2:10" ht="18.75" customHeight="1" x14ac:dyDescent="0.25">
      <c r="C17" s="42"/>
      <c r="D17" s="42"/>
      <c r="E17" s="42"/>
      <c r="F17" s="544" t="s">
        <v>51</v>
      </c>
      <c r="G17" s="15">
        <f>'Process (2)'!F8</f>
        <v>0.2</v>
      </c>
      <c r="H17" s="13" t="s">
        <v>57</v>
      </c>
      <c r="I17" s="545">
        <f>'Process (2)'!H8</f>
        <v>1.6500000000000001</v>
      </c>
      <c r="J17" s="119"/>
    </row>
    <row r="18" spans="2:10" ht="18.75" customHeight="1" x14ac:dyDescent="0.25">
      <c r="C18" s="42"/>
      <c r="D18" s="42"/>
      <c r="E18" s="42"/>
      <c r="F18" s="544" t="s">
        <v>52</v>
      </c>
      <c r="G18" s="15">
        <f>'Process (2)'!F9</f>
        <v>0.24999999999999997</v>
      </c>
      <c r="H18" s="13" t="s">
        <v>58</v>
      </c>
      <c r="I18" s="545">
        <f>'Process (2)'!H9</f>
        <v>0.25</v>
      </c>
      <c r="J18" s="119"/>
    </row>
    <row r="19" spans="2:10" ht="18.75" customHeight="1" x14ac:dyDescent="0.25">
      <c r="C19" s="42"/>
      <c r="D19" s="42"/>
      <c r="E19" s="42"/>
      <c r="F19" s="546" t="s">
        <v>53</v>
      </c>
      <c r="G19" s="547">
        <f>'Process (2)'!F10</f>
        <v>0.7</v>
      </c>
      <c r="H19" s="548" t="s">
        <v>59</v>
      </c>
      <c r="I19" s="549">
        <f>'Process (2)'!H10</f>
        <v>0.25</v>
      </c>
      <c r="J19" s="119"/>
    </row>
    <row r="20" spans="2:10" ht="18.75" customHeight="1" x14ac:dyDescent="0.25">
      <c r="C20" s="42"/>
      <c r="D20" s="42"/>
      <c r="E20" s="42"/>
      <c r="F20" s="42"/>
      <c r="G20" s="42"/>
      <c r="H20" s="539" t="s">
        <v>60</v>
      </c>
      <c r="I20" s="314">
        <f>'Process (2)'!H11</f>
        <v>2.1</v>
      </c>
      <c r="J20" s="119"/>
    </row>
    <row r="21" spans="2:10" ht="18.75" customHeight="1" x14ac:dyDescent="0.25">
      <c r="C21" s="42"/>
      <c r="D21" s="42"/>
      <c r="E21" s="42"/>
      <c r="F21" s="42"/>
      <c r="G21" s="42"/>
      <c r="H21" s="30"/>
      <c r="I21" s="31"/>
      <c r="J21" s="119"/>
    </row>
    <row r="23" spans="2:10" ht="18.75" customHeight="1" x14ac:dyDescent="0.25">
      <c r="B23" s="568" t="s">
        <v>1279</v>
      </c>
      <c r="C23" s="569" t="s">
        <v>1280</v>
      </c>
      <c r="D23" s="570"/>
      <c r="E23" s="570"/>
      <c r="F23" s="570"/>
      <c r="G23" s="570"/>
      <c r="H23" s="571"/>
      <c r="I23" s="572"/>
      <c r="J23" s="573"/>
    </row>
    <row r="25" spans="2:10" ht="18.75" customHeight="1" x14ac:dyDescent="0.25">
      <c r="C25" s="588" t="s">
        <v>1281</v>
      </c>
      <c r="D25" s="588" t="s">
        <v>1282</v>
      </c>
      <c r="E25" s="589"/>
      <c r="F25" s="590"/>
      <c r="G25" s="591"/>
      <c r="H25" s="652" t="s">
        <v>1283</v>
      </c>
      <c r="I25" s="588" t="s">
        <v>1284</v>
      </c>
    </row>
    <row r="26" spans="2:10" ht="18.75" customHeight="1" x14ac:dyDescent="0.25">
      <c r="C26" s="588" t="s">
        <v>1285</v>
      </c>
      <c r="D26" s="588" t="s">
        <v>1286</v>
      </c>
      <c r="E26" s="589"/>
      <c r="F26" s="590"/>
      <c r="G26" s="591"/>
      <c r="H26" s="652"/>
      <c r="I26" s="588" t="s">
        <v>1287</v>
      </c>
    </row>
    <row r="27" spans="2:10" ht="18.75" customHeight="1" x14ac:dyDescent="0.25">
      <c r="C27" s="207">
        <f>Report!B1073</f>
        <v>1</v>
      </c>
      <c r="D27" s="207">
        <f>'Process (3)'!C22</f>
        <v>11</v>
      </c>
      <c r="E27" s="578"/>
      <c r="F27" s="579"/>
      <c r="G27" s="580"/>
      <c r="H27" s="86">
        <f>IF(C27="","",'Process (2)'!$H$165)</f>
        <v>0.79348575208323102</v>
      </c>
      <c r="I27" s="6">
        <f>IF(C27="","",D27*'Input (1)'!$H$58*Output!H27)</f>
        <v>1602.3667147283809</v>
      </c>
    </row>
    <row r="28" spans="2:10" ht="18.75" customHeight="1" x14ac:dyDescent="0.25">
      <c r="C28" s="207">
        <f>Report!B1074</f>
        <v>2</v>
      </c>
      <c r="D28" s="207">
        <f>'Process (3)'!C23</f>
        <v>19</v>
      </c>
      <c r="E28" s="578"/>
      <c r="F28" s="579"/>
      <c r="G28" s="580"/>
      <c r="H28" s="86">
        <f>IF(C28="","",'Process (2)'!$H$165)</f>
        <v>0.79348575208323102</v>
      </c>
      <c r="I28" s="6">
        <f>IF(C28="","",D28*'Input (1)'!$H$58*Output!H28)</f>
        <v>2767.7243254399305</v>
      </c>
    </row>
    <row r="29" spans="2:10" ht="18.75" customHeight="1" x14ac:dyDescent="0.25">
      <c r="C29" s="207">
        <f>Report!B1075</f>
        <v>3</v>
      </c>
      <c r="D29" s="207">
        <f>'Process (3)'!C24</f>
        <v>19</v>
      </c>
      <c r="E29" s="578"/>
      <c r="F29" s="579"/>
      <c r="G29" s="580"/>
      <c r="H29" s="86">
        <f>IF(C29="","",'Process (2)'!$H$165)</f>
        <v>0.79348575208323102</v>
      </c>
      <c r="I29" s="6">
        <f>IF(C29="","",D29*'Input (1)'!$H$58*Output!H29)</f>
        <v>2767.7243254399305</v>
      </c>
    </row>
    <row r="30" spans="2:10" ht="18.75" customHeight="1" x14ac:dyDescent="0.25">
      <c r="C30" s="207">
        <f>Report!B1076</f>
        <v>4</v>
      </c>
      <c r="D30" s="207">
        <f>'Process (3)'!C25</f>
        <v>19</v>
      </c>
      <c r="E30" s="578"/>
      <c r="F30" s="579"/>
      <c r="G30" s="580"/>
      <c r="H30" s="86">
        <f>IF(C30="","",'Process (2)'!$H$165)</f>
        <v>0.79348575208323102</v>
      </c>
      <c r="I30" s="6">
        <f>IF(C30="","",D30*'Input (1)'!$H$58*Output!H30)</f>
        <v>2767.7243254399305</v>
      </c>
    </row>
    <row r="33" spans="2:10" ht="18.75" customHeight="1" x14ac:dyDescent="0.25">
      <c r="B33" s="568" t="s">
        <v>1288</v>
      </c>
      <c r="C33" s="569" t="s">
        <v>1289</v>
      </c>
      <c r="D33" s="570"/>
      <c r="E33" s="570"/>
      <c r="F33" s="570"/>
      <c r="G33" s="570"/>
      <c r="H33" s="571"/>
      <c r="I33" s="572"/>
      <c r="J33" s="573"/>
    </row>
    <row r="35" spans="2:10" ht="18.75" customHeight="1" x14ac:dyDescent="0.25">
      <c r="C35" s="648" t="s">
        <v>232</v>
      </c>
      <c r="D35" s="592" t="s">
        <v>233</v>
      </c>
      <c r="E35" s="592"/>
      <c r="F35" s="648" t="s">
        <v>234</v>
      </c>
      <c r="G35" s="648"/>
      <c r="H35" s="648"/>
      <c r="I35" s="648"/>
    </row>
    <row r="36" spans="2:10" ht="18.75" customHeight="1" x14ac:dyDescent="0.25">
      <c r="C36" s="648"/>
      <c r="D36" s="592" t="s">
        <v>729</v>
      </c>
      <c r="E36" s="592"/>
      <c r="F36" s="592" t="str">
        <f>Report!D1148</f>
        <v>Z1</v>
      </c>
      <c r="G36" s="592" t="str">
        <f>Report!E1148</f>
        <v>Z2</v>
      </c>
      <c r="H36" s="592" t="str">
        <f>Report!F1148</f>
        <v>Z3</v>
      </c>
      <c r="I36" s="592" t="str">
        <f>Report!G1148</f>
        <v>Z4</v>
      </c>
    </row>
    <row r="37" spans="2:10" ht="18.75" customHeight="1" x14ac:dyDescent="0.25">
      <c r="C37" s="592" t="s">
        <v>46</v>
      </c>
      <c r="D37" s="592" t="s">
        <v>46</v>
      </c>
      <c r="E37" s="592"/>
      <c r="F37" s="592" t="str">
        <f>Report!D1149</f>
        <v>(m)</v>
      </c>
      <c r="G37" s="592" t="str">
        <f>Report!E1149</f>
        <v>(m)</v>
      </c>
      <c r="H37" s="592" t="str">
        <f>Report!F1149</f>
        <v>(m)</v>
      </c>
      <c r="I37" s="592" t="str">
        <f>Report!G1149</f>
        <v>(m)</v>
      </c>
    </row>
    <row r="38" spans="2:10" ht="18.75" customHeight="1" x14ac:dyDescent="0.25">
      <c r="C38" s="58">
        <f>Report!B1150</f>
        <v>0</v>
      </c>
      <c r="D38" s="58">
        <f>Report!C1150</f>
        <v>1.0119504630245026</v>
      </c>
      <c r="E38" s="58"/>
      <c r="F38" s="58">
        <f>Report!D1150</f>
        <v>1.74</v>
      </c>
      <c r="G38" s="58">
        <f>Report!E1150</f>
        <v>1.31</v>
      </c>
      <c r="H38" s="58">
        <f>Report!F1150</f>
        <v>0.88</v>
      </c>
      <c r="I38" s="58">
        <f>Report!G1150</f>
        <v>0.45</v>
      </c>
    </row>
    <row r="39" spans="2:10" ht="18.75" customHeight="1" x14ac:dyDescent="0.25">
      <c r="C39" s="50">
        <f>Report!B1151</f>
        <v>1</v>
      </c>
      <c r="D39" s="50">
        <f>Report!C1151</f>
        <v>0.93278529287961365</v>
      </c>
      <c r="E39" s="50"/>
      <c r="F39" s="50">
        <f>Report!D1151</f>
        <v>1.610325</v>
      </c>
      <c r="G39" s="50">
        <f>Report!E1151</f>
        <v>1.197875</v>
      </c>
      <c r="H39" s="50">
        <f>Report!F1151</f>
        <v>0.80979999999999996</v>
      </c>
      <c r="I39" s="50">
        <f>Report!G1151</f>
        <v>0.42172500000000002</v>
      </c>
    </row>
    <row r="40" spans="2:10" ht="18.75" customHeight="1" x14ac:dyDescent="0.25">
      <c r="C40" s="50">
        <f>Report!B1152</f>
        <v>2</v>
      </c>
      <c r="D40" s="50">
        <f>Report!C1152</f>
        <v>0.85767987504984711</v>
      </c>
      <c r="E40" s="50"/>
      <c r="F40" s="50">
        <f>Report!D1152</f>
        <v>1.4872999999999998</v>
      </c>
      <c r="G40" s="50">
        <f>Report!E1152</f>
        <v>1.0914999999999999</v>
      </c>
      <c r="H40" s="50">
        <f>Report!F1152</f>
        <v>0.74319999999999997</v>
      </c>
      <c r="I40" s="50">
        <f>Report!G1152</f>
        <v>0.39490000000000003</v>
      </c>
    </row>
    <row r="41" spans="2:10" ht="18.75" customHeight="1" x14ac:dyDescent="0.25">
      <c r="C41" s="50">
        <f>Report!B1153</f>
        <v>3</v>
      </c>
      <c r="D41" s="50">
        <f>Report!C1153</f>
        <v>0.78663420953520313</v>
      </c>
      <c r="E41" s="50"/>
      <c r="F41" s="50">
        <f>Report!D1153</f>
        <v>1.3709249999999999</v>
      </c>
      <c r="G41" s="50">
        <f>Report!E1153</f>
        <v>0.99087499999999995</v>
      </c>
      <c r="H41" s="50">
        <f>Report!F1153</f>
        <v>0.68020000000000003</v>
      </c>
      <c r="I41" s="50">
        <f>Report!G1153</f>
        <v>0.36952499999999999</v>
      </c>
    </row>
    <row r="42" spans="2:10" ht="18.75" customHeight="1" x14ac:dyDescent="0.25">
      <c r="C42" s="50">
        <f>Report!B1154</f>
        <v>4</v>
      </c>
      <c r="D42" s="50">
        <f>Report!C1154</f>
        <v>0.71964829633568161</v>
      </c>
      <c r="E42" s="50"/>
      <c r="F42" s="50">
        <f>Report!D1154</f>
        <v>1.2611999999999999</v>
      </c>
      <c r="G42" s="50">
        <f>Report!E1154</f>
        <v>0.89600000000000002</v>
      </c>
      <c r="H42" s="50">
        <f>Report!F1154</f>
        <v>0.62080000000000002</v>
      </c>
      <c r="I42" s="50">
        <f>Report!G1154</f>
        <v>0.34560000000000002</v>
      </c>
    </row>
    <row r="43" spans="2:10" ht="18.75" customHeight="1" x14ac:dyDescent="0.25">
      <c r="C43" s="58">
        <f>Report!B1155</f>
        <v>5</v>
      </c>
      <c r="D43" s="58">
        <f>Report!C1155</f>
        <v>0.65672213545128266</v>
      </c>
      <c r="E43" s="58"/>
      <c r="F43" s="58">
        <f>Report!D1155</f>
        <v>1.1581250000000001</v>
      </c>
      <c r="G43" s="58">
        <f>Report!E1155</f>
        <v>0.80687500000000001</v>
      </c>
      <c r="H43" s="58">
        <f>Report!F1155</f>
        <v>0.56499999999999995</v>
      </c>
      <c r="I43" s="58">
        <f>Report!G1155</f>
        <v>0.323125</v>
      </c>
    </row>
    <row r="44" spans="2:10" ht="18.75" customHeight="1" x14ac:dyDescent="0.25">
      <c r="C44" s="50">
        <f>Report!B1156</f>
        <v>6</v>
      </c>
      <c r="D44" s="50">
        <f>Report!C1156</f>
        <v>0.59785572688200628</v>
      </c>
      <c r="E44" s="50"/>
      <c r="F44" s="50">
        <f>Report!D1156</f>
        <v>1.0616999999999999</v>
      </c>
      <c r="G44" s="50">
        <f>Report!E1156</f>
        <v>0.72350000000000003</v>
      </c>
      <c r="H44" s="50">
        <f>Report!F1156</f>
        <v>0.51279999999999992</v>
      </c>
      <c r="I44" s="50">
        <f>Report!G1156</f>
        <v>0.30209999999999998</v>
      </c>
    </row>
    <row r="45" spans="2:10" ht="18.75" customHeight="1" x14ac:dyDescent="0.25">
      <c r="C45" s="50">
        <f>Report!B1157</f>
        <v>7</v>
      </c>
      <c r="D45" s="50">
        <f>Report!C1157</f>
        <v>0.54304907062785235</v>
      </c>
      <c r="E45" s="50"/>
      <c r="F45" s="50">
        <f>Report!D1157</f>
        <v>0.97192499999999993</v>
      </c>
      <c r="G45" s="50">
        <f>Report!E1157</f>
        <v>0.64587500000000009</v>
      </c>
      <c r="H45" s="50">
        <f>Report!F1157</f>
        <v>0.4642</v>
      </c>
      <c r="I45" s="50">
        <f>Report!G1157</f>
        <v>0.28252500000000003</v>
      </c>
    </row>
    <row r="46" spans="2:10" ht="18.75" customHeight="1" x14ac:dyDescent="0.25">
      <c r="C46" s="50">
        <f>Report!B1158</f>
        <v>8</v>
      </c>
      <c r="D46" s="50">
        <f>Report!C1158</f>
        <v>0.49230216668882087</v>
      </c>
      <c r="E46" s="50"/>
      <c r="F46" s="50">
        <f>Report!D1158</f>
        <v>0.88879999999999992</v>
      </c>
      <c r="G46" s="50">
        <f>Report!E1158</f>
        <v>0.57399999999999995</v>
      </c>
      <c r="H46" s="50">
        <f>Report!F1158</f>
        <v>0.41920000000000002</v>
      </c>
      <c r="I46" s="50">
        <f>Report!G1158</f>
        <v>0.26439999999999997</v>
      </c>
    </row>
    <row r="47" spans="2:10" ht="18.75" customHeight="1" x14ac:dyDescent="0.25">
      <c r="C47" s="50">
        <f>Report!B1159</f>
        <v>9</v>
      </c>
      <c r="D47" s="50">
        <f>Report!C1159</f>
        <v>0.44561501506491197</v>
      </c>
      <c r="E47" s="50"/>
      <c r="F47" s="50">
        <f>Report!D1159</f>
        <v>0.81232499999999996</v>
      </c>
      <c r="G47" s="50">
        <f>Report!E1159</f>
        <v>0.50787499999999997</v>
      </c>
      <c r="H47" s="50">
        <f>Report!F1159</f>
        <v>0.37780000000000002</v>
      </c>
      <c r="I47" s="50">
        <f>Report!G1159</f>
        <v>0.247725</v>
      </c>
    </row>
    <row r="48" spans="2:10" ht="18.75" customHeight="1" x14ac:dyDescent="0.25">
      <c r="C48" s="58">
        <f>Report!B1160</f>
        <v>10</v>
      </c>
      <c r="D48" s="58">
        <f>Report!C1160</f>
        <v>0.40298761575612563</v>
      </c>
      <c r="E48" s="58"/>
      <c r="F48" s="58">
        <f>Report!D1160</f>
        <v>0.74249999999999994</v>
      </c>
      <c r="G48" s="58">
        <f>Report!E1160</f>
        <v>0.4474999999999999</v>
      </c>
      <c r="H48" s="58">
        <f>Report!F1160</f>
        <v>0.34000000000000008</v>
      </c>
      <c r="I48" s="58">
        <f>Report!G1160</f>
        <v>0.23249999999999998</v>
      </c>
    </row>
    <row r="49" spans="3:9" ht="18.75" customHeight="1" x14ac:dyDescent="0.25">
      <c r="C49" s="50">
        <f>Report!B1161</f>
        <v>11</v>
      </c>
      <c r="D49" s="50">
        <f>Report!C1161</f>
        <v>0.36441996876246174</v>
      </c>
      <c r="E49" s="50"/>
      <c r="F49" s="50">
        <f>Report!D1161</f>
        <v>0.67932499999999996</v>
      </c>
      <c r="G49" s="50">
        <f>Report!E1161</f>
        <v>0.39287499999999986</v>
      </c>
      <c r="H49" s="50">
        <f>Report!F1161</f>
        <v>0.30580000000000007</v>
      </c>
      <c r="I49" s="50">
        <f>Report!G1161</f>
        <v>0.21872499999999997</v>
      </c>
    </row>
    <row r="50" spans="3:9" ht="18.75" customHeight="1" x14ac:dyDescent="0.25">
      <c r="C50" s="50">
        <f>Report!B1162</f>
        <v>12</v>
      </c>
      <c r="D50" s="50">
        <f>Report!C1162</f>
        <v>0.32991207408392031</v>
      </c>
      <c r="E50" s="50"/>
      <c r="F50" s="50">
        <f>Report!D1162</f>
        <v>0.6227999999999998</v>
      </c>
      <c r="G50" s="50">
        <f>Report!E1162</f>
        <v>0.34399999999999997</v>
      </c>
      <c r="H50" s="50">
        <f>Report!F1162</f>
        <v>0.2752</v>
      </c>
      <c r="I50" s="50">
        <f>Report!G1162</f>
        <v>0.20639999999999997</v>
      </c>
    </row>
    <row r="51" spans="3:9" ht="18.75" customHeight="1" x14ac:dyDescent="0.25">
      <c r="C51" s="50">
        <f>Report!B1163</f>
        <v>13</v>
      </c>
      <c r="D51" s="50">
        <f>Report!C1163</f>
        <v>0.29946393172050156</v>
      </c>
      <c r="E51" s="50"/>
      <c r="F51" s="50">
        <f>Report!D1163</f>
        <v>0.57292499999999991</v>
      </c>
      <c r="G51" s="50">
        <f>Report!E1163</f>
        <v>0.300875</v>
      </c>
      <c r="H51" s="50">
        <f>Report!F1163</f>
        <v>0.24820000000000009</v>
      </c>
      <c r="I51" s="50">
        <f>Report!G1163</f>
        <v>0.195525</v>
      </c>
    </row>
    <row r="52" spans="3:9" ht="18.75" customHeight="1" x14ac:dyDescent="0.25">
      <c r="C52" s="50">
        <f>Report!B1164</f>
        <v>14</v>
      </c>
      <c r="D52" s="50">
        <f>Report!C1164</f>
        <v>0.27307554167220527</v>
      </c>
      <c r="E52" s="50"/>
      <c r="F52" s="50">
        <f>Report!D1164</f>
        <v>0.52970000000000006</v>
      </c>
      <c r="G52" s="50">
        <f>Report!E1164</f>
        <v>0.26350000000000007</v>
      </c>
      <c r="H52" s="50">
        <f>Report!F1164</f>
        <v>0.2248</v>
      </c>
      <c r="I52" s="50">
        <f>Report!G1164</f>
        <v>0.18609999999999999</v>
      </c>
    </row>
    <row r="53" spans="3:9" ht="18.75" customHeight="1" x14ac:dyDescent="0.25">
      <c r="C53" s="58">
        <f>Report!B1165</f>
        <v>15</v>
      </c>
      <c r="D53" s="58">
        <f>Report!C1165</f>
        <v>0.25074690393903132</v>
      </c>
      <c r="E53" s="58"/>
      <c r="F53" s="58">
        <f>Report!D1165</f>
        <v>0.49312499999999981</v>
      </c>
      <c r="G53" s="58">
        <f>Report!E1165</f>
        <v>0.23187499999999983</v>
      </c>
      <c r="H53" s="58">
        <f>Report!F1165</f>
        <v>0.20500000000000007</v>
      </c>
      <c r="I53" s="58">
        <f>Report!G1165</f>
        <v>0.17812499999999998</v>
      </c>
    </row>
    <row r="54" spans="3:9" ht="18.75" customHeight="1" x14ac:dyDescent="0.25">
      <c r="C54" s="50">
        <f>Report!B1166</f>
        <v>16</v>
      </c>
      <c r="D54" s="50">
        <f>Report!C1166</f>
        <v>0.23247801852098005</v>
      </c>
      <c r="E54" s="50"/>
      <c r="F54" s="50">
        <f>Report!D1166</f>
        <v>0.46319999999999983</v>
      </c>
      <c r="G54" s="50">
        <f>Report!E1166</f>
        <v>0.20599999999999996</v>
      </c>
      <c r="H54" s="50">
        <f>Report!F1166</f>
        <v>0.18879999999999997</v>
      </c>
      <c r="I54" s="50">
        <f>Report!G1166</f>
        <v>0.17159999999999997</v>
      </c>
    </row>
    <row r="55" spans="3:9" ht="18.75" customHeight="1" x14ac:dyDescent="0.25">
      <c r="C55" s="50">
        <f>Report!B1167</f>
        <v>17</v>
      </c>
      <c r="D55" s="50">
        <f>Report!C1167</f>
        <v>0.21826888541805134</v>
      </c>
      <c r="E55" s="50"/>
      <c r="F55" s="50">
        <f>Report!D1167</f>
        <v>0.43992500000000012</v>
      </c>
      <c r="G55" s="50">
        <f>Report!E1167</f>
        <v>0.18587500000000001</v>
      </c>
      <c r="H55" s="50">
        <f>Report!F1167</f>
        <v>0.17619999999999991</v>
      </c>
      <c r="I55" s="50">
        <f>Report!G1167</f>
        <v>0.16652499999999998</v>
      </c>
    </row>
    <row r="56" spans="3:9" ht="18.75" customHeight="1" x14ac:dyDescent="0.25">
      <c r="C56" s="50">
        <f>Report!B1168</f>
        <v>18</v>
      </c>
      <c r="D56" s="50">
        <f>Report!C1168</f>
        <v>0.20811950463024498</v>
      </c>
      <c r="E56" s="50"/>
      <c r="F56" s="50">
        <f>Report!D1168</f>
        <v>0.42330000000000001</v>
      </c>
      <c r="G56" s="50">
        <f>Report!E1168</f>
        <v>0.17149999999999999</v>
      </c>
      <c r="H56" s="50">
        <f>Report!F1168</f>
        <v>0.16720000000000002</v>
      </c>
      <c r="I56" s="50">
        <f>Report!G1168</f>
        <v>0.16289999999999999</v>
      </c>
    </row>
    <row r="57" spans="3:9" ht="18.75" customHeight="1" x14ac:dyDescent="0.25">
      <c r="C57" s="50">
        <f>Report!B1169</f>
        <v>19</v>
      </c>
      <c r="D57" s="50">
        <f>Report!C1169</f>
        <v>0.20202987615756118</v>
      </c>
      <c r="E57" s="50"/>
      <c r="F57" s="50">
        <f>Report!D1169</f>
        <v>0.41332499999999972</v>
      </c>
      <c r="G57" s="50">
        <f>Report!E1169</f>
        <v>0.16287499999999988</v>
      </c>
      <c r="H57" s="50">
        <f>Report!F1169</f>
        <v>0.16179999999999994</v>
      </c>
      <c r="I57" s="50">
        <f>Report!G1169</f>
        <v>0.16072499999999995</v>
      </c>
    </row>
    <row r="58" spans="3:9" ht="18.75" customHeight="1" x14ac:dyDescent="0.25">
      <c r="C58" s="58">
        <f>Report!B1170</f>
        <v>20</v>
      </c>
      <c r="D58" s="58">
        <f>Report!C1170</f>
        <v>0.19999999999999996</v>
      </c>
      <c r="E58" s="58"/>
      <c r="F58" s="58">
        <f>Report!D1170</f>
        <v>0.40999999999999992</v>
      </c>
      <c r="G58" s="58">
        <f>Report!E1170</f>
        <v>0.15999999999999992</v>
      </c>
      <c r="H58" s="58">
        <f>Report!F1170</f>
        <v>0.16000000000000003</v>
      </c>
      <c r="I58" s="58">
        <f>Report!G1170</f>
        <v>0.15999999999999998</v>
      </c>
    </row>
    <row r="77" spans="2:10" ht="18.75" customHeight="1" x14ac:dyDescent="0.25">
      <c r="B77" s="568" t="s">
        <v>1290</v>
      </c>
      <c r="C77" s="569" t="s">
        <v>1291</v>
      </c>
      <c r="D77" s="570"/>
      <c r="E77" s="570"/>
      <c r="F77" s="570"/>
      <c r="G77" s="570"/>
      <c r="H77" s="571"/>
      <c r="I77" s="572"/>
      <c r="J77" s="573"/>
    </row>
    <row r="78" spans="2:10" ht="18.75" customHeight="1" x14ac:dyDescent="0.25">
      <c r="C78" s="581" t="s">
        <v>370</v>
      </c>
      <c r="D78" s="42"/>
      <c r="E78" s="42"/>
      <c r="F78" s="42"/>
      <c r="G78" s="42"/>
      <c r="H78" s="30" t="s">
        <v>296</v>
      </c>
      <c r="I78" s="512">
        <f>Report!H1329</f>
        <v>9905.5396910481722</v>
      </c>
      <c r="J78" s="503" t="s">
        <v>40</v>
      </c>
    </row>
    <row r="79" spans="2:10" ht="18.75" customHeight="1" x14ac:dyDescent="0.25">
      <c r="C79" s="581" t="s">
        <v>371</v>
      </c>
      <c r="D79" s="42"/>
      <c r="E79" s="42"/>
      <c r="F79" s="42"/>
      <c r="G79" s="42"/>
      <c r="H79" s="30" t="s">
        <v>286</v>
      </c>
      <c r="I79" s="512">
        <f>Report!H1330</f>
        <v>9608.3735003167276</v>
      </c>
      <c r="J79" s="503" t="s">
        <v>40</v>
      </c>
    </row>
    <row r="80" spans="2:10" ht="18.75" customHeight="1" x14ac:dyDescent="0.25">
      <c r="C80" s="581" t="s">
        <v>372</v>
      </c>
      <c r="D80" s="42"/>
      <c r="E80" s="42"/>
      <c r="F80" s="42"/>
      <c r="G80" s="42"/>
      <c r="H80" s="30" t="s">
        <v>287</v>
      </c>
      <c r="I80" s="512">
        <f>Report!H1331</f>
        <v>9416.8127703820446</v>
      </c>
      <c r="J80" s="503" t="s">
        <v>40</v>
      </c>
    </row>
    <row r="81" spans="3:10" ht="18.75" customHeight="1" x14ac:dyDescent="0.25">
      <c r="C81" s="581" t="s">
        <v>977</v>
      </c>
      <c r="D81" s="42"/>
      <c r="E81" s="42"/>
      <c r="F81" s="42"/>
      <c r="G81" s="42"/>
      <c r="H81" s="30" t="s">
        <v>298</v>
      </c>
      <c r="I81" s="512">
        <f>Report!H1332</f>
        <v>8901.7660267627289</v>
      </c>
      <c r="J81" s="503" t="s">
        <v>40</v>
      </c>
    </row>
    <row r="82" spans="3:10" ht="18.75" customHeight="1" x14ac:dyDescent="0.25">
      <c r="C82" s="581" t="s">
        <v>373</v>
      </c>
      <c r="D82" s="42"/>
      <c r="E82" s="42"/>
      <c r="F82" s="42"/>
      <c r="G82" s="42"/>
      <c r="H82" s="30" t="s">
        <v>374</v>
      </c>
      <c r="I82" s="512">
        <f>Report!H1333</f>
        <v>7579.4128750556474</v>
      </c>
      <c r="J82" s="503" t="s">
        <v>40</v>
      </c>
    </row>
    <row r="84" spans="3:10" ht="18.75" customHeight="1" x14ac:dyDescent="0.25">
      <c r="C84" s="42" t="s">
        <v>913</v>
      </c>
      <c r="D84" s="42"/>
      <c r="E84" s="42"/>
      <c r="F84" s="42"/>
      <c r="G84" s="42"/>
      <c r="H84" s="42"/>
      <c r="I84" s="30"/>
      <c r="J84" s="236"/>
    </row>
    <row r="85" spans="3:10" ht="18.75" customHeight="1" x14ac:dyDescent="0.25">
      <c r="C85" s="42" t="s">
        <v>361</v>
      </c>
      <c r="D85" s="42"/>
      <c r="E85" s="31" t="s">
        <v>915</v>
      </c>
      <c r="F85" s="31"/>
      <c r="G85" s="262">
        <v>0.3</v>
      </c>
      <c r="H85" s="42"/>
      <c r="I85" s="30"/>
      <c r="J85" s="31"/>
    </row>
    <row r="86" spans="3:10" ht="18.75" customHeight="1" x14ac:dyDescent="0.25">
      <c r="C86" s="42"/>
      <c r="D86" s="42"/>
      <c r="E86" s="86">
        <f>Report!D1320</f>
        <v>0.23483090155044162</v>
      </c>
      <c r="F86" s="31" t="str">
        <f>IF(E86&lt;G86,"&lt;","&gt;")</f>
        <v>&lt;</v>
      </c>
      <c r="G86" s="86">
        <f>Report!F1320</f>
        <v>0.3</v>
      </c>
      <c r="H86" s="245" t="s">
        <v>363</v>
      </c>
      <c r="I86" s="132" t="str">
        <f>IF(E86&lt;G86,"[ OK ]","[ NOT OK ]")</f>
        <v>[ OK ]</v>
      </c>
      <c r="J86" s="42"/>
    </row>
    <row r="87" spans="3:10" ht="18.75" customHeight="1" x14ac:dyDescent="0.25">
      <c r="C87" s="42"/>
      <c r="D87" s="42"/>
      <c r="E87" s="236"/>
      <c r="F87" s="31"/>
      <c r="G87" s="236"/>
      <c r="H87" s="42"/>
      <c r="I87" s="245"/>
      <c r="J87" s="132"/>
    </row>
    <row r="88" spans="3:10" ht="18.75" customHeight="1" x14ac:dyDescent="0.25">
      <c r="C88" s="42" t="s">
        <v>914</v>
      </c>
      <c r="D88" s="42"/>
      <c r="E88" s="42"/>
      <c r="F88" s="42"/>
      <c r="G88" s="42"/>
      <c r="H88" s="42"/>
      <c r="I88" s="30"/>
      <c r="J88" s="237"/>
    </row>
    <row r="89" spans="3:10" ht="18.75" customHeight="1" x14ac:dyDescent="0.25">
      <c r="C89" s="42" t="s">
        <v>361</v>
      </c>
      <c r="D89" s="42"/>
      <c r="E89" s="31" t="s">
        <v>367</v>
      </c>
      <c r="F89" s="31" t="s">
        <v>362</v>
      </c>
      <c r="G89" s="31" t="s">
        <v>368</v>
      </c>
      <c r="H89" s="42"/>
      <c r="I89" s="30"/>
      <c r="J89" s="31"/>
    </row>
    <row r="90" spans="3:10" ht="18.75" customHeight="1" x14ac:dyDescent="0.25">
      <c r="C90" s="42"/>
      <c r="D90" s="42"/>
      <c r="E90" s="512">
        <f>Report!D1326</f>
        <v>1129.3004462506181</v>
      </c>
      <c r="F90" s="31" t="str">
        <f>IF(E90&lt;G90,"&lt;","&gt;")</f>
        <v>&lt;</v>
      </c>
      <c r="G90" s="512">
        <f>Report!F1326</f>
        <v>1302</v>
      </c>
      <c r="H90" s="245" t="s">
        <v>363</v>
      </c>
      <c r="I90" s="132" t="str">
        <f>IF(E90&lt;G90,"[ OK ]","[ NOT OK ]")</f>
        <v>[ OK ]</v>
      </c>
      <c r="J90" s="42"/>
    </row>
    <row r="109" spans="2:10" ht="18.75" customHeight="1" x14ac:dyDescent="0.25">
      <c r="B109" s="568" t="s">
        <v>1293</v>
      </c>
      <c r="C109" s="569" t="s">
        <v>1294</v>
      </c>
      <c r="D109" s="570"/>
      <c r="E109" s="570"/>
      <c r="F109" s="570"/>
      <c r="G109" s="570"/>
      <c r="H109" s="571"/>
      <c r="I109" s="572"/>
      <c r="J109" s="573"/>
    </row>
    <row r="110" spans="2:10" ht="18.75" customHeight="1" x14ac:dyDescent="0.25">
      <c r="C110" s="332" t="s">
        <v>664</v>
      </c>
    </row>
    <row r="120" spans="3:3" ht="18.75" customHeight="1" x14ac:dyDescent="0.25">
      <c r="C120" s="332" t="s">
        <v>666</v>
      </c>
    </row>
    <row r="131" spans="3:3" ht="18.75" customHeight="1" x14ac:dyDescent="0.25">
      <c r="C131" s="332" t="s">
        <v>668</v>
      </c>
    </row>
    <row r="141" spans="3:3" ht="18.75" customHeight="1" x14ac:dyDescent="0.25">
      <c r="C141" s="332" t="s">
        <v>670</v>
      </c>
    </row>
    <row r="152" spans="3:3" ht="18.75" customHeight="1" x14ac:dyDescent="0.25">
      <c r="C152" s="332" t="s">
        <v>672</v>
      </c>
    </row>
    <row r="163" spans="3:9" ht="18.75" customHeight="1" x14ac:dyDescent="0.25">
      <c r="C163" s="332" t="s">
        <v>674</v>
      </c>
    </row>
    <row r="174" spans="3:9" ht="18.75" customHeight="1" x14ac:dyDescent="0.25">
      <c r="C174" s="154" t="s">
        <v>676</v>
      </c>
      <c r="D174" s="168"/>
      <c r="E174" s="168"/>
      <c r="F174" s="168"/>
      <c r="G174" s="168"/>
      <c r="H174" s="421"/>
      <c r="I174" s="421"/>
    </row>
    <row r="175" spans="3:9" ht="18.75" customHeight="1" x14ac:dyDescent="0.25">
      <c r="C175" s="644" t="s">
        <v>393</v>
      </c>
      <c r="D175" s="644"/>
      <c r="E175" s="644"/>
      <c r="F175" s="648" t="s">
        <v>390</v>
      </c>
      <c r="G175" s="648"/>
      <c r="H175" s="648"/>
      <c r="I175" s="648"/>
    </row>
    <row r="176" spans="3:9" ht="18.75" customHeight="1" x14ac:dyDescent="0.25">
      <c r="C176" s="644" t="s">
        <v>392</v>
      </c>
      <c r="D176" s="644"/>
      <c r="E176" s="644"/>
      <c r="F176" s="646" t="s">
        <v>391</v>
      </c>
      <c r="G176" s="646"/>
      <c r="H176" s="593" t="s">
        <v>388</v>
      </c>
      <c r="I176" s="593" t="s">
        <v>389</v>
      </c>
    </row>
    <row r="177" spans="3:9" ht="18.75" customHeight="1" x14ac:dyDescent="0.25">
      <c r="C177" s="169" t="s">
        <v>646</v>
      </c>
      <c r="D177" s="170">
        <f>Report!C1517</f>
        <v>1.0880495369754974</v>
      </c>
      <c r="E177" s="171" t="s">
        <v>2</v>
      </c>
      <c r="F177" s="647">
        <f>Report!E1517</f>
        <v>-14.020991816603312</v>
      </c>
      <c r="G177" s="647">
        <f>Report!F1517</f>
        <v>0</v>
      </c>
      <c r="H177" s="518">
        <f>Report!G1517</f>
        <v>-24</v>
      </c>
      <c r="I177" s="173" t="str">
        <f>Report!H1517</f>
        <v>[ OK ]</v>
      </c>
    </row>
    <row r="178" spans="3:9" ht="18.75" customHeight="1" x14ac:dyDescent="0.25">
      <c r="C178" s="169" t="s">
        <v>150</v>
      </c>
      <c r="D178" s="170">
        <f>Report!C1518</f>
        <v>1.0119504630245026</v>
      </c>
      <c r="E178" s="171" t="s">
        <v>2</v>
      </c>
      <c r="F178" s="647">
        <f>Report!E1518</f>
        <v>-12.372751413157271</v>
      </c>
      <c r="G178" s="647">
        <f>Report!F1518</f>
        <v>0</v>
      </c>
      <c r="H178" s="518">
        <f>Report!G1518</f>
        <v>-24</v>
      </c>
      <c r="I178" s="173" t="str">
        <f>Report!H1518</f>
        <v>[ OK ]</v>
      </c>
    </row>
    <row r="179" spans="3:9" ht="18.75" customHeight="1" x14ac:dyDescent="0.25">
      <c r="C179" s="644" t="s">
        <v>392</v>
      </c>
      <c r="D179" s="644"/>
      <c r="E179" s="644"/>
      <c r="F179" s="645" t="s">
        <v>394</v>
      </c>
      <c r="G179" s="645"/>
      <c r="H179" s="593" t="s">
        <v>388</v>
      </c>
      <c r="I179" s="593" t="s">
        <v>389</v>
      </c>
    </row>
    <row r="180" spans="3:9" ht="18.75" customHeight="1" x14ac:dyDescent="0.25">
      <c r="C180" s="169" t="s">
        <v>646</v>
      </c>
      <c r="D180" s="170">
        <f>Report!C1520</f>
        <v>1.0880495369754974</v>
      </c>
      <c r="E180" s="171" t="s">
        <v>2</v>
      </c>
      <c r="F180" s="641">
        <f>Report!E1520</f>
        <v>-1.5193695500330178</v>
      </c>
      <c r="G180" s="641">
        <f>Report!F1520</f>
        <v>0</v>
      </c>
      <c r="H180" s="515">
        <f>Report!G1520</f>
        <v>-24</v>
      </c>
      <c r="I180" s="171" t="str">
        <f>Report!H1520</f>
        <v>[ OK ]</v>
      </c>
    </row>
    <row r="181" spans="3:9" ht="18.75" customHeight="1" x14ac:dyDescent="0.25">
      <c r="C181" s="169" t="s">
        <v>150</v>
      </c>
      <c r="D181" s="170">
        <f>Report!C1521</f>
        <v>1.0119504630245026</v>
      </c>
      <c r="E181" s="171" t="s">
        <v>2</v>
      </c>
      <c r="F181" s="641">
        <f>Report!E1521</f>
        <v>-24.000000000000007</v>
      </c>
      <c r="G181" s="641">
        <f>Report!F1521</f>
        <v>0</v>
      </c>
      <c r="H181" s="515">
        <f>Report!G1521</f>
        <v>-24</v>
      </c>
      <c r="I181" s="171" t="str">
        <f>Report!H1521</f>
        <v>[ OK ]</v>
      </c>
    </row>
    <row r="183" spans="3:9" ht="18.75" customHeight="1" x14ac:dyDescent="0.25">
      <c r="C183" s="644" t="s">
        <v>393</v>
      </c>
      <c r="D183" s="644"/>
      <c r="E183" s="644"/>
      <c r="F183" s="648" t="s">
        <v>395</v>
      </c>
      <c r="G183" s="648"/>
      <c r="H183" s="648"/>
      <c r="I183" s="648"/>
    </row>
    <row r="184" spans="3:9" ht="18.75" customHeight="1" x14ac:dyDescent="0.25">
      <c r="C184" s="644" t="s">
        <v>392</v>
      </c>
      <c r="D184" s="644"/>
      <c r="E184" s="644"/>
      <c r="F184" s="646" t="s">
        <v>391</v>
      </c>
      <c r="G184" s="646"/>
      <c r="H184" s="593" t="s">
        <v>388</v>
      </c>
      <c r="I184" s="593" t="s">
        <v>389</v>
      </c>
    </row>
    <row r="185" spans="3:9" ht="18.75" customHeight="1" x14ac:dyDescent="0.25">
      <c r="C185" s="169" t="s">
        <v>646</v>
      </c>
      <c r="D185" s="170">
        <f>Report!C1525</f>
        <v>1.0880495369754974</v>
      </c>
      <c r="E185" s="171" t="s">
        <v>2</v>
      </c>
      <c r="F185" s="647">
        <f>Report!E1525</f>
        <v>-10.728429667678991</v>
      </c>
      <c r="G185" s="647">
        <f>Report!F1525</f>
        <v>0</v>
      </c>
      <c r="H185" s="518">
        <f>Report!G1525</f>
        <v>-22.5</v>
      </c>
      <c r="I185" s="173" t="str">
        <f>Report!H1525</f>
        <v>[ OK ]</v>
      </c>
    </row>
    <row r="186" spans="3:9" ht="18.75" customHeight="1" x14ac:dyDescent="0.25">
      <c r="C186" s="169" t="s">
        <v>150</v>
      </c>
      <c r="D186" s="170">
        <f>Report!C1526</f>
        <v>1.0119504630245026</v>
      </c>
      <c r="E186" s="171" t="s">
        <v>2</v>
      </c>
      <c r="F186" s="647">
        <f>Report!E1526</f>
        <v>-9.467247044146049</v>
      </c>
      <c r="G186" s="647">
        <f>Report!F1526</f>
        <v>0</v>
      </c>
      <c r="H186" s="518">
        <f>Report!G1526</f>
        <v>-22.5</v>
      </c>
      <c r="I186" s="173" t="str">
        <f>Report!H1526</f>
        <v>[ OK ]</v>
      </c>
    </row>
    <row r="187" spans="3:9" ht="18.75" customHeight="1" x14ac:dyDescent="0.25">
      <c r="C187" s="644" t="s">
        <v>392</v>
      </c>
      <c r="D187" s="644"/>
      <c r="E187" s="644"/>
      <c r="F187" s="645" t="s">
        <v>394</v>
      </c>
      <c r="G187" s="645"/>
      <c r="H187" s="593" t="s">
        <v>388</v>
      </c>
      <c r="I187" s="593" t="s">
        <v>389</v>
      </c>
    </row>
    <row r="188" spans="3:9" ht="18.75" customHeight="1" x14ac:dyDescent="0.25">
      <c r="C188" s="169" t="s">
        <v>646</v>
      </c>
      <c r="D188" s="170">
        <f>Report!C1528</f>
        <v>1.0880495369754974</v>
      </c>
      <c r="E188" s="171" t="s">
        <v>2</v>
      </c>
      <c r="F188" s="641">
        <f>Report!E1528</f>
        <v>-3.3912583082419423</v>
      </c>
      <c r="G188" s="641">
        <f>Report!F1528</f>
        <v>0</v>
      </c>
      <c r="H188" s="515">
        <f>Report!G1528</f>
        <v>-22.5</v>
      </c>
      <c r="I188" s="171" t="str">
        <f>Report!H1528</f>
        <v>[ OK ]</v>
      </c>
    </row>
    <row r="189" spans="3:9" ht="18.75" customHeight="1" x14ac:dyDescent="0.25">
      <c r="C189" s="169" t="s">
        <v>150</v>
      </c>
      <c r="D189" s="170">
        <f>Report!C1529</f>
        <v>1.0119504630245026</v>
      </c>
      <c r="E189" s="171" t="s">
        <v>2</v>
      </c>
      <c r="F189" s="641">
        <f>Report!E1529</f>
        <v>-16.29125064154811</v>
      </c>
      <c r="G189" s="641">
        <f>Report!F1529</f>
        <v>0</v>
      </c>
      <c r="H189" s="515">
        <f>Report!G1529</f>
        <v>-22.5</v>
      </c>
      <c r="I189" s="171" t="str">
        <f>Report!H1529</f>
        <v>[ OK ]</v>
      </c>
    </row>
    <row r="191" spans="3:9" ht="18.75" customHeight="1" x14ac:dyDescent="0.25">
      <c r="C191" s="644" t="s">
        <v>393</v>
      </c>
      <c r="D191" s="644"/>
      <c r="E191" s="644"/>
      <c r="F191" s="648" t="s">
        <v>396</v>
      </c>
      <c r="G191" s="648"/>
      <c r="H191" s="648"/>
      <c r="I191" s="648"/>
    </row>
    <row r="192" spans="3:9" ht="18.75" customHeight="1" x14ac:dyDescent="0.25">
      <c r="C192" s="644" t="s">
        <v>392</v>
      </c>
      <c r="D192" s="644"/>
      <c r="E192" s="644"/>
      <c r="F192" s="646" t="s">
        <v>391</v>
      </c>
      <c r="G192" s="646"/>
      <c r="H192" s="593" t="s">
        <v>388</v>
      </c>
      <c r="I192" s="593" t="s">
        <v>389</v>
      </c>
    </row>
    <row r="193" spans="3:9" ht="18.75" customHeight="1" x14ac:dyDescent="0.25">
      <c r="C193" s="169" t="s">
        <v>646</v>
      </c>
      <c r="D193" s="170">
        <f>Report!C1533</f>
        <v>1.0880495369754974</v>
      </c>
      <c r="E193" s="171" t="s">
        <v>2</v>
      </c>
      <c r="F193" s="647">
        <f>Report!E1533</f>
        <v>-10.728429667678991</v>
      </c>
      <c r="G193" s="647">
        <f>Report!F1533</f>
        <v>0</v>
      </c>
      <c r="H193" s="518">
        <f>Report!G1533</f>
        <v>-22.5</v>
      </c>
      <c r="I193" s="173" t="str">
        <f>Report!H1533</f>
        <v>[ OK ]</v>
      </c>
    </row>
    <row r="194" spans="3:9" ht="18.75" customHeight="1" x14ac:dyDescent="0.25">
      <c r="C194" s="169" t="s">
        <v>150</v>
      </c>
      <c r="D194" s="170">
        <f>Report!C1534</f>
        <v>1.0119504630245026</v>
      </c>
      <c r="E194" s="171" t="s">
        <v>2</v>
      </c>
      <c r="F194" s="647">
        <f>Report!E1534</f>
        <v>-9.467247044146049</v>
      </c>
      <c r="G194" s="647">
        <f>Report!F1534</f>
        <v>0</v>
      </c>
      <c r="H194" s="518">
        <f>Report!G1534</f>
        <v>-22.5</v>
      </c>
      <c r="I194" s="173" t="str">
        <f>Report!H1534</f>
        <v>[ OK ]</v>
      </c>
    </row>
    <row r="195" spans="3:9" ht="18.75" customHeight="1" x14ac:dyDescent="0.25">
      <c r="C195" s="644" t="s">
        <v>392</v>
      </c>
      <c r="D195" s="644"/>
      <c r="E195" s="644"/>
      <c r="F195" s="645" t="s">
        <v>394</v>
      </c>
      <c r="G195" s="645"/>
      <c r="H195" s="593" t="s">
        <v>388</v>
      </c>
      <c r="I195" s="593" t="s">
        <v>389</v>
      </c>
    </row>
    <row r="196" spans="3:9" ht="18.75" customHeight="1" x14ac:dyDescent="0.25">
      <c r="C196" s="169" t="s">
        <v>646</v>
      </c>
      <c r="D196" s="170">
        <f>Report!C1536</f>
        <v>1.0880495369754974</v>
      </c>
      <c r="E196" s="171" t="s">
        <v>2</v>
      </c>
      <c r="F196" s="641">
        <f>Report!E1536</f>
        <v>-10.766239830306631</v>
      </c>
      <c r="G196" s="641">
        <f>Report!F1536</f>
        <v>0</v>
      </c>
      <c r="H196" s="515">
        <f>Report!G1536</f>
        <v>-22.5</v>
      </c>
      <c r="I196" s="171" t="str">
        <f>Report!H1536</f>
        <v>[ OK ]</v>
      </c>
    </row>
    <row r="197" spans="3:9" ht="18.75" customHeight="1" x14ac:dyDescent="0.25">
      <c r="C197" s="169" t="s">
        <v>150</v>
      </c>
      <c r="D197" s="170">
        <f>Report!C1537</f>
        <v>1.0119504630245026</v>
      </c>
      <c r="E197" s="171" t="s">
        <v>2</v>
      </c>
      <c r="F197" s="641">
        <f>Report!E1537</f>
        <v>-9.4320813551973366</v>
      </c>
      <c r="G197" s="641">
        <f>Report!F1537</f>
        <v>0</v>
      </c>
      <c r="H197" s="515">
        <f>Report!G1537</f>
        <v>-22.5</v>
      </c>
      <c r="I197" s="171" t="str">
        <f>Report!H1537</f>
        <v>[ OK ]</v>
      </c>
    </row>
    <row r="199" spans="3:9" ht="18.75" customHeight="1" x14ac:dyDescent="0.25">
      <c r="C199" s="644" t="s">
        <v>393</v>
      </c>
      <c r="D199" s="644"/>
      <c r="E199" s="644"/>
      <c r="F199" s="644" t="s">
        <v>1141</v>
      </c>
      <c r="G199" s="644"/>
      <c r="H199" s="644"/>
      <c r="I199" s="644"/>
    </row>
    <row r="200" spans="3:9" ht="18.75" customHeight="1" x14ac:dyDescent="0.25">
      <c r="C200" s="644" t="s">
        <v>392</v>
      </c>
      <c r="D200" s="644"/>
      <c r="E200" s="644"/>
      <c r="F200" s="646" t="s">
        <v>391</v>
      </c>
      <c r="G200" s="646"/>
      <c r="H200" s="593" t="s">
        <v>388</v>
      </c>
      <c r="I200" s="593" t="s">
        <v>389</v>
      </c>
    </row>
    <row r="201" spans="3:9" ht="18.75" customHeight="1" x14ac:dyDescent="0.25">
      <c r="C201" s="169" t="s">
        <v>646</v>
      </c>
      <c r="D201" s="170">
        <f>Report!C1553</f>
        <v>0.97017846692262921</v>
      </c>
      <c r="E201" s="171" t="s">
        <v>2</v>
      </c>
      <c r="F201" s="643" t="s">
        <v>845</v>
      </c>
      <c r="G201" s="643"/>
      <c r="H201" s="517" t="s">
        <v>845</v>
      </c>
      <c r="I201" s="517" t="s">
        <v>845</v>
      </c>
    </row>
    <row r="202" spans="3:9" ht="18.75" customHeight="1" x14ac:dyDescent="0.25">
      <c r="C202" s="169" t="s">
        <v>397</v>
      </c>
      <c r="D202" s="170">
        <f>Report!C1554</f>
        <v>0.72017846692262921</v>
      </c>
      <c r="E202" s="171" t="s">
        <v>2</v>
      </c>
      <c r="F202" s="643" t="s">
        <v>845</v>
      </c>
      <c r="G202" s="643"/>
      <c r="H202" s="517" t="s">
        <v>845</v>
      </c>
      <c r="I202" s="517" t="s">
        <v>845</v>
      </c>
    </row>
    <row r="203" spans="3:9" ht="18.75" customHeight="1" x14ac:dyDescent="0.25">
      <c r="C203" s="169" t="s">
        <v>397</v>
      </c>
      <c r="D203" s="170">
        <f>Report!C1555</f>
        <v>0.72017846692262921</v>
      </c>
      <c r="E203" s="171" t="s">
        <v>2</v>
      </c>
      <c r="F203" s="643" t="s">
        <v>845</v>
      </c>
      <c r="G203" s="643"/>
      <c r="H203" s="517" t="s">
        <v>845</v>
      </c>
      <c r="I203" s="517" t="s">
        <v>845</v>
      </c>
    </row>
    <row r="204" spans="3:9" ht="18.75" customHeight="1" x14ac:dyDescent="0.25">
      <c r="C204" s="169" t="s">
        <v>150</v>
      </c>
      <c r="D204" s="170">
        <f>Report!C1556</f>
        <v>1.3798215330773709</v>
      </c>
      <c r="E204" s="171" t="s">
        <v>2</v>
      </c>
      <c r="F204" s="643" t="s">
        <v>845</v>
      </c>
      <c r="G204" s="643"/>
      <c r="H204" s="517" t="s">
        <v>845</v>
      </c>
      <c r="I204" s="517" t="s">
        <v>845</v>
      </c>
    </row>
    <row r="205" spans="3:9" ht="18.75" customHeight="1" x14ac:dyDescent="0.25">
      <c r="C205" s="644" t="s">
        <v>392</v>
      </c>
      <c r="D205" s="644"/>
      <c r="E205" s="644"/>
      <c r="F205" s="645" t="s">
        <v>394</v>
      </c>
      <c r="G205" s="645"/>
      <c r="H205" s="593" t="s">
        <v>388</v>
      </c>
      <c r="I205" s="593" t="s">
        <v>389</v>
      </c>
    </row>
    <row r="206" spans="3:9" ht="18.75" customHeight="1" x14ac:dyDescent="0.25">
      <c r="C206" s="169" t="s">
        <v>646</v>
      </c>
      <c r="D206" s="170">
        <f>Report!C1558</f>
        <v>0.97017846692262921</v>
      </c>
      <c r="E206" s="171" t="s">
        <v>2</v>
      </c>
      <c r="F206" s="641">
        <f>Report!E1558</f>
        <v>-3.9687373026375385</v>
      </c>
      <c r="G206" s="641">
        <f>Report!F1558</f>
        <v>0</v>
      </c>
      <c r="H206" s="515">
        <f>Report!G1558</f>
        <v>-13.05</v>
      </c>
      <c r="I206" s="171" t="str">
        <f>Report!H1558</f>
        <v>[ OK ]</v>
      </c>
    </row>
    <row r="207" spans="3:9" ht="18.75" customHeight="1" x14ac:dyDescent="0.25">
      <c r="C207" s="169" t="s">
        <v>397</v>
      </c>
      <c r="D207" s="170">
        <f>Report!C1559</f>
        <v>0.72017846692262921</v>
      </c>
      <c r="E207" s="171" t="s">
        <v>2</v>
      </c>
      <c r="F207" s="641">
        <f>Report!E1559</f>
        <v>-2.9460550235651564</v>
      </c>
      <c r="G207" s="641">
        <f>Report!F1559</f>
        <v>0</v>
      </c>
      <c r="H207" s="515">
        <f>Report!G1559</f>
        <v>-13.05</v>
      </c>
      <c r="I207" s="171" t="str">
        <f>Report!H1559</f>
        <v>[ OK ]</v>
      </c>
    </row>
    <row r="208" spans="3:9" ht="18.75" customHeight="1" x14ac:dyDescent="0.25">
      <c r="C208" s="169" t="s">
        <v>397</v>
      </c>
      <c r="D208" s="170">
        <f>Report!C1560</f>
        <v>0.72017846692262921</v>
      </c>
      <c r="E208" s="171" t="s">
        <v>2</v>
      </c>
      <c r="F208" s="641">
        <f>Report!E1560</f>
        <v>-14.927398893749373</v>
      </c>
      <c r="G208" s="641">
        <f>Report!F1560</f>
        <v>0</v>
      </c>
      <c r="H208" s="515">
        <f>Report!G1560</f>
        <v>-22.5</v>
      </c>
      <c r="I208" s="171" t="str">
        <f>Report!H1560</f>
        <v>[ OK ]</v>
      </c>
    </row>
    <row r="209" spans="2:10" ht="18.75" customHeight="1" x14ac:dyDescent="0.25">
      <c r="C209" s="169" t="s">
        <v>150</v>
      </c>
      <c r="D209" s="170">
        <f>Report!C1561</f>
        <v>1.3798215330773709</v>
      </c>
      <c r="E209" s="171" t="s">
        <v>2</v>
      </c>
      <c r="F209" s="641">
        <f>Report!E1561</f>
        <v>-1.4595340741978857</v>
      </c>
      <c r="G209" s="641">
        <f>Report!F1561</f>
        <v>0</v>
      </c>
      <c r="H209" s="515">
        <f>Report!G1561</f>
        <v>-22.5</v>
      </c>
      <c r="I209" s="171" t="str">
        <f>Report!H1561</f>
        <v>[ OK ]</v>
      </c>
    </row>
    <row r="211" spans="2:10" ht="18.75" customHeight="1" x14ac:dyDescent="0.25">
      <c r="C211" s="561"/>
      <c r="D211" s="562" t="s">
        <v>1269</v>
      </c>
      <c r="F211" s="560"/>
      <c r="G211" s="562" t="s">
        <v>1270</v>
      </c>
    </row>
    <row r="214" spans="2:10" ht="18.75" customHeight="1" x14ac:dyDescent="0.25">
      <c r="B214" s="568" t="s">
        <v>1295</v>
      </c>
      <c r="C214" s="569" t="s">
        <v>1296</v>
      </c>
      <c r="D214" s="570"/>
      <c r="E214" s="570"/>
      <c r="F214" s="570"/>
      <c r="G214" s="570"/>
      <c r="H214" s="571"/>
      <c r="I214" s="572"/>
      <c r="J214" s="573"/>
    </row>
    <row r="215" spans="2:10" ht="18.75" customHeight="1" x14ac:dyDescent="0.25">
      <c r="C215" s="87" t="s">
        <v>1297</v>
      </c>
    </row>
    <row r="216" spans="2:10" ht="18.75" customHeight="1" x14ac:dyDescent="0.25">
      <c r="C216" s="528" t="s">
        <v>531</v>
      </c>
      <c r="D216" s="89"/>
      <c r="E216" s="89"/>
      <c r="F216" s="89"/>
      <c r="G216" s="89"/>
      <c r="H216" s="89"/>
      <c r="I216" s="89"/>
      <c r="J216" s="128"/>
    </row>
    <row r="217" spans="2:10" ht="18.75" customHeight="1" x14ac:dyDescent="0.25">
      <c r="C217" s="89" t="s">
        <v>465</v>
      </c>
      <c r="D217" s="89"/>
      <c r="E217" s="89"/>
      <c r="F217" s="89"/>
      <c r="G217" s="89"/>
    </row>
    <row r="218" spans="2:10" ht="18.75" customHeight="1" x14ac:dyDescent="0.25">
      <c r="C218" s="89"/>
      <c r="D218" s="89"/>
      <c r="E218" s="89"/>
      <c r="F218" s="89"/>
      <c r="G218" s="89"/>
      <c r="H218" s="136" t="s">
        <v>832</v>
      </c>
      <c r="I218" s="140">
        <f>Report!H1674</f>
        <v>42.45806951588807</v>
      </c>
      <c r="J218" s="143" t="s">
        <v>5</v>
      </c>
    </row>
    <row r="219" spans="2:10" ht="18.75" customHeight="1" x14ac:dyDescent="0.25">
      <c r="C219" s="133" t="s">
        <v>429</v>
      </c>
      <c r="D219" s="127" t="s">
        <v>430</v>
      </c>
      <c r="E219" s="128" t="s">
        <v>362</v>
      </c>
      <c r="F219" s="128" t="s">
        <v>431</v>
      </c>
      <c r="G219" s="89"/>
      <c r="H219" s="133"/>
      <c r="I219" s="134"/>
      <c r="J219" s="142"/>
    </row>
    <row r="220" spans="2:10" ht="18.75" customHeight="1" x14ac:dyDescent="0.25">
      <c r="C220" s="133"/>
      <c r="D220" s="137">
        <f>Report!C1676</f>
        <v>42.45806951588807</v>
      </c>
      <c r="E220" s="130" t="str">
        <f>IF(D220&lt;F220,"&lt;","&gt;")</f>
        <v>&lt;</v>
      </c>
      <c r="F220" s="137">
        <f>Report!E1676</f>
        <v>133.33333333333334</v>
      </c>
      <c r="G220" s="89"/>
      <c r="H220" s="131" t="s">
        <v>363</v>
      </c>
      <c r="I220" s="132" t="str">
        <f>IF(D220&lt;F220,"[ OK ]","[ NOT OK ]")</f>
        <v>[ OK ]</v>
      </c>
      <c r="J220" s="142"/>
    </row>
    <row r="221" spans="2:10" ht="18.75" customHeight="1" x14ac:dyDescent="0.25">
      <c r="C221" s="89"/>
      <c r="D221" s="89"/>
      <c r="E221" s="89"/>
      <c r="F221" s="89"/>
      <c r="G221" s="89"/>
      <c r="H221" s="89"/>
      <c r="I221" s="128"/>
      <c r="J221" s="143"/>
    </row>
    <row r="222" spans="2:10" ht="18.75" customHeight="1" x14ac:dyDescent="0.25">
      <c r="C222" s="89" t="s">
        <v>473</v>
      </c>
      <c r="D222" s="89"/>
      <c r="E222" s="89"/>
      <c r="F222" s="89"/>
      <c r="G222" s="89"/>
      <c r="H222" s="89" t="s">
        <v>474</v>
      </c>
      <c r="I222" s="25">
        <f>Report!H1678</f>
        <v>39.59364588754714</v>
      </c>
      <c r="J222" s="143" t="s">
        <v>5</v>
      </c>
    </row>
    <row r="223" spans="2:10" ht="18.75" customHeight="1" x14ac:dyDescent="0.25">
      <c r="C223" s="133" t="s">
        <v>429</v>
      </c>
      <c r="D223" s="127" t="s">
        <v>430</v>
      </c>
      <c r="E223" s="128" t="s">
        <v>362</v>
      </c>
      <c r="F223" s="128" t="s">
        <v>431</v>
      </c>
      <c r="G223" s="89"/>
      <c r="H223" s="133"/>
      <c r="I223" s="134"/>
      <c r="J223" s="143"/>
    </row>
    <row r="224" spans="2:10" ht="18.75" customHeight="1" x14ac:dyDescent="0.25">
      <c r="C224" s="133"/>
      <c r="D224" s="137">
        <f>Report!C1680</f>
        <v>39.59364588754714</v>
      </c>
      <c r="E224" s="130" t="str">
        <f>IF(D224&lt;F224,"&lt;","&gt;")</f>
        <v>&lt;</v>
      </c>
      <c r="F224" s="137">
        <f>Report!E1680</f>
        <v>133.33333333333334</v>
      </c>
      <c r="G224" s="89"/>
      <c r="H224" s="131" t="s">
        <v>363</v>
      </c>
      <c r="I224" s="132" t="str">
        <f>IF(D224&lt;F224,"[ OK ]","[ NOT OK ]")</f>
        <v>[ OK ]</v>
      </c>
      <c r="J224" s="143"/>
    </row>
    <row r="225" spans="3:11" ht="18.75" customHeight="1" x14ac:dyDescent="0.25">
      <c r="C225" s="89"/>
      <c r="D225" s="89"/>
      <c r="E225" s="89"/>
      <c r="F225" s="89"/>
      <c r="G225" s="89"/>
      <c r="H225" s="89"/>
      <c r="I225" s="128"/>
      <c r="J225" s="143"/>
    </row>
    <row r="226" spans="3:11" ht="18.75" customHeight="1" x14ac:dyDescent="0.25">
      <c r="C226" s="528" t="s">
        <v>916</v>
      </c>
      <c r="D226" s="89"/>
      <c r="E226" s="89"/>
      <c r="F226" s="89"/>
      <c r="G226" s="89"/>
      <c r="H226" s="89"/>
      <c r="I226" s="128"/>
      <c r="J226" s="143"/>
    </row>
    <row r="227" spans="3:11" ht="18.75" customHeight="1" x14ac:dyDescent="0.25">
      <c r="C227" s="89" t="s">
        <v>919</v>
      </c>
      <c r="D227" s="89"/>
      <c r="E227" s="89"/>
      <c r="F227" s="89"/>
      <c r="G227" s="89"/>
      <c r="H227" s="136" t="s">
        <v>918</v>
      </c>
      <c r="I227" s="140">
        <f>Report!H1683</f>
        <v>27.916730734364126</v>
      </c>
      <c r="J227" s="143" t="s">
        <v>5</v>
      </c>
    </row>
    <row r="228" spans="3:11" ht="18.75" customHeight="1" x14ac:dyDescent="0.25">
      <c r="C228" s="133" t="s">
        <v>429</v>
      </c>
      <c r="D228" s="127" t="s">
        <v>430</v>
      </c>
      <c r="E228" s="128" t="s">
        <v>362</v>
      </c>
      <c r="F228" s="128" t="s">
        <v>917</v>
      </c>
      <c r="G228" s="89"/>
      <c r="H228" s="133"/>
      <c r="I228" s="134"/>
      <c r="J228" s="142"/>
    </row>
    <row r="229" spans="3:11" ht="18.75" customHeight="1" x14ac:dyDescent="0.25">
      <c r="C229" s="133"/>
      <c r="D229" s="137">
        <f>Report!C1685</f>
        <v>27.916730734364126</v>
      </c>
      <c r="E229" s="130" t="str">
        <f>IF(D229&lt;F229,"&lt;","&gt;")</f>
        <v>&lt;</v>
      </c>
      <c r="F229" s="137">
        <f>Report!E1685</f>
        <v>50</v>
      </c>
      <c r="G229" s="89"/>
      <c r="H229" s="131" t="s">
        <v>363</v>
      </c>
      <c r="I229" s="132" t="str">
        <f>IF(D229&lt;F229,"[ OK ]","[ NOT OK ]")</f>
        <v>[ OK ]</v>
      </c>
      <c r="J229" s="142"/>
    </row>
    <row r="230" spans="3:11" ht="18.75" customHeight="1" x14ac:dyDescent="0.25">
      <c r="C230" s="87"/>
    </row>
    <row r="231" spans="3:11" ht="18.75" customHeight="1" x14ac:dyDescent="0.25">
      <c r="C231" s="87" t="s">
        <v>1298</v>
      </c>
    </row>
    <row r="232" spans="3:11" ht="18.75" customHeight="1" x14ac:dyDescent="0.25">
      <c r="C232" s="1" t="s">
        <v>968</v>
      </c>
      <c r="J232" s="28"/>
    </row>
    <row r="233" spans="3:11" ht="18.75" customHeight="1" x14ac:dyDescent="0.25">
      <c r="C233" s="8" t="s">
        <v>361</v>
      </c>
      <c r="D233" s="520" t="s">
        <v>840</v>
      </c>
      <c r="E233" s="16" t="s">
        <v>362</v>
      </c>
      <c r="F233" s="16" t="s">
        <v>841</v>
      </c>
      <c r="G233" s="11"/>
      <c r="H233" s="89"/>
      <c r="J233" s="28"/>
    </row>
    <row r="234" spans="3:11" ht="18.75" customHeight="1" x14ac:dyDescent="0.25">
      <c r="C234" s="8"/>
      <c r="D234" s="512">
        <f>Report!C1780</f>
        <v>11768.908605248413</v>
      </c>
      <c r="E234" s="520" t="str">
        <f>IF(D234&lt;F234,"&lt;","&gt;")</f>
        <v>&lt;</v>
      </c>
      <c r="F234" s="512">
        <f>Report!E1780</f>
        <v>20980.052132798355</v>
      </c>
      <c r="H234" s="192" t="s">
        <v>363</v>
      </c>
      <c r="I234" s="519" t="str">
        <f>IF(D234&lt;F234,"[ OK ]","[NOT OK]")</f>
        <v>[ OK ]</v>
      </c>
      <c r="K234" s="28"/>
    </row>
    <row r="236" spans="3:11" ht="18.75" customHeight="1" x14ac:dyDescent="0.25">
      <c r="C236" s="353" t="s">
        <v>970</v>
      </c>
      <c r="D236" s="202"/>
      <c r="E236" s="202"/>
      <c r="F236" s="202"/>
      <c r="G236" s="303"/>
      <c r="H236" s="357"/>
      <c r="I236" s="8"/>
    </row>
    <row r="237" spans="3:11" ht="18.75" customHeight="1" x14ac:dyDescent="0.25">
      <c r="C237" s="353"/>
      <c r="D237" s="357" t="s">
        <v>969</v>
      </c>
      <c r="E237" s="202"/>
      <c r="F237" s="357" t="s">
        <v>979</v>
      </c>
      <c r="G237" s="303"/>
      <c r="H237" s="357"/>
    </row>
    <row r="238" spans="3:11" ht="18.75" customHeight="1" x14ac:dyDescent="0.25">
      <c r="C238" s="202"/>
      <c r="D238" s="358">
        <f>Report!C1784</f>
        <v>2.1407584437739789E-2</v>
      </c>
      <c r="E238" s="357" t="str">
        <f>IF(D238&lt;F238,"&lt;","&gt;")</f>
        <v>&gt;</v>
      </c>
      <c r="F238" s="358">
        <f>Report!E1784</f>
        <v>8.1865284974093257E-3</v>
      </c>
      <c r="H238" s="192" t="s">
        <v>363</v>
      </c>
      <c r="I238" s="519" t="str">
        <f>IF(D238&gt;F238,"[ OK ]","[NOT OK]")</f>
        <v>[ OK ]</v>
      </c>
    </row>
    <row r="241" spans="2:10" ht="18.75" customHeight="1" x14ac:dyDescent="0.25">
      <c r="B241" s="568" t="s">
        <v>1299</v>
      </c>
      <c r="C241" s="569" t="s">
        <v>1300</v>
      </c>
      <c r="D241" s="570"/>
      <c r="E241" s="570"/>
      <c r="F241" s="570"/>
      <c r="G241" s="570"/>
      <c r="H241" s="571"/>
      <c r="I241" s="572"/>
      <c r="J241" s="573"/>
    </row>
    <row r="243" spans="2:10" ht="18.75" customHeight="1" x14ac:dyDescent="0.25">
      <c r="C243" s="514"/>
      <c r="D243" s="514" t="s">
        <v>1302</v>
      </c>
      <c r="E243" s="514" t="s">
        <v>1301</v>
      </c>
      <c r="F243" s="514" t="s">
        <v>1186</v>
      </c>
      <c r="G243" s="447" t="s">
        <v>1214</v>
      </c>
      <c r="H243" s="642" t="s">
        <v>1215</v>
      </c>
      <c r="I243" s="642"/>
    </row>
    <row r="244" spans="2:10" ht="18.75" customHeight="1" x14ac:dyDescent="0.25">
      <c r="C244" s="514"/>
      <c r="D244" s="514" t="s">
        <v>5</v>
      </c>
      <c r="E244" s="514" t="s">
        <v>5</v>
      </c>
      <c r="F244" s="514" t="s">
        <v>40</v>
      </c>
      <c r="G244" s="514" t="s">
        <v>40</v>
      </c>
      <c r="H244" s="514" t="s">
        <v>1189</v>
      </c>
      <c r="I244" s="514" t="s">
        <v>1190</v>
      </c>
    </row>
    <row r="245" spans="2:10" ht="18.75" customHeight="1" x14ac:dyDescent="0.25">
      <c r="C245" s="196">
        <f>Report!B1910</f>
        <v>0</v>
      </c>
      <c r="D245" s="451">
        <f>'Input (4) &amp; Process (8)'!$I$6</f>
        <v>13</v>
      </c>
      <c r="E245" s="451">
        <f>Report!G1886</f>
        <v>200</v>
      </c>
      <c r="F245" s="6">
        <f>Report!G1831</f>
        <v>1033.2856000000002</v>
      </c>
      <c r="G245" s="512">
        <f>Report!D1910</f>
        <v>1359.2089097543605</v>
      </c>
      <c r="H245" s="512">
        <f>Report!E1910</f>
        <v>1.3154242251652015</v>
      </c>
      <c r="I245" s="207" t="str">
        <f>Report!F1910</f>
        <v>[ OK ]</v>
      </c>
    </row>
    <row r="246" spans="2:10" ht="18.75" customHeight="1" x14ac:dyDescent="0.25">
      <c r="C246" s="196">
        <f>Report!B1911</f>
        <v>1</v>
      </c>
      <c r="D246" s="451">
        <f>'Input (4) &amp; Process (8)'!$I$6</f>
        <v>13</v>
      </c>
      <c r="E246" s="451">
        <f>Report!G1887</f>
        <v>200</v>
      </c>
      <c r="F246" s="6">
        <f>Report!G1832</f>
        <v>981.6213200000002</v>
      </c>
      <c r="G246" s="512">
        <f>Report!D1911</f>
        <v>1900.9901213739759</v>
      </c>
      <c r="H246" s="512">
        <f>Report!E1911</f>
        <v>1.9365819411644152</v>
      </c>
      <c r="I246" s="207" t="str">
        <f>Report!F1911</f>
        <v>[ OK ]</v>
      </c>
    </row>
    <row r="247" spans="2:10" ht="18.75" customHeight="1" x14ac:dyDescent="0.25">
      <c r="C247" s="196">
        <f>Report!B1912</f>
        <v>2</v>
      </c>
      <c r="D247" s="451">
        <f>'Input (4) &amp; Process (8)'!$I$6</f>
        <v>13</v>
      </c>
      <c r="E247" s="451">
        <f>Report!G1888</f>
        <v>200</v>
      </c>
      <c r="F247" s="6">
        <f>Report!G1833</f>
        <v>929.95704000000012</v>
      </c>
      <c r="G247" s="512">
        <f>Report!D1912</f>
        <v>1977.9440068761585</v>
      </c>
      <c r="H247" s="512">
        <f>Report!E1912</f>
        <v>2.1269197627410383</v>
      </c>
      <c r="I247" s="207" t="str">
        <f>Report!F1912</f>
        <v>[ OK ]</v>
      </c>
    </row>
    <row r="248" spans="2:10" ht="18.75" customHeight="1" x14ac:dyDescent="0.25">
      <c r="C248" s="196">
        <f>Report!B1913</f>
        <v>3</v>
      </c>
      <c r="D248" s="451">
        <f>'Input (4) &amp; Process (8)'!$I$6</f>
        <v>13</v>
      </c>
      <c r="E248" s="451">
        <f>Report!G1889</f>
        <v>200</v>
      </c>
      <c r="F248" s="6">
        <f>Report!G1834</f>
        <v>878.29276000000016</v>
      </c>
      <c r="G248" s="512">
        <f>Report!D1913</f>
        <v>2050.1148265045285</v>
      </c>
      <c r="H248" s="512">
        <f>Report!E1913</f>
        <v>2.3342044018494792</v>
      </c>
      <c r="I248" s="207" t="str">
        <f>Report!F1913</f>
        <v>[ OK ]</v>
      </c>
    </row>
    <row r="249" spans="2:10" ht="18.75" customHeight="1" x14ac:dyDescent="0.25">
      <c r="C249" s="196">
        <f>Report!B1914</f>
        <v>4</v>
      </c>
      <c r="D249" s="451">
        <f>'Input (4) &amp; Process (8)'!$I$6</f>
        <v>13</v>
      </c>
      <c r="E249" s="451">
        <f>Report!G1890</f>
        <v>200</v>
      </c>
      <c r="F249" s="6">
        <f>Report!G1835</f>
        <v>826.6284800000002</v>
      </c>
      <c r="G249" s="512">
        <f>Report!D1914</f>
        <v>2117.5027167982444</v>
      </c>
      <c r="H249" s="512">
        <f>Report!E1914</f>
        <v>2.5616135519529206</v>
      </c>
      <c r="I249" s="207" t="str">
        <f>Report!F1914</f>
        <v>[ OK ]</v>
      </c>
    </row>
    <row r="250" spans="2:10" ht="18.75" customHeight="1" x14ac:dyDescent="0.25">
      <c r="C250" s="196">
        <f>Report!B1915</f>
        <v>5</v>
      </c>
      <c r="D250" s="451">
        <f>'Input (4) &amp; Process (8)'!$I$6</f>
        <v>13</v>
      </c>
      <c r="E250" s="451">
        <f>Report!G1891</f>
        <v>200</v>
      </c>
      <c r="F250" s="6">
        <f>Report!G1836</f>
        <v>774.96420000000012</v>
      </c>
      <c r="G250" s="512">
        <f>Report!D1915</f>
        <v>2180.107814612089</v>
      </c>
      <c r="H250" s="512">
        <f>Report!E1915</f>
        <v>2.8131722918453379</v>
      </c>
      <c r="I250" s="207" t="str">
        <f>Report!F1915</f>
        <v>[ OK ]</v>
      </c>
    </row>
    <row r="251" spans="2:10" ht="18.75" customHeight="1" x14ac:dyDescent="0.25">
      <c r="C251" s="196">
        <f>Report!B1916</f>
        <v>6</v>
      </c>
      <c r="D251" s="451">
        <f>'Input (4) &amp; Process (8)'!$I$6</f>
        <v>13</v>
      </c>
      <c r="E251" s="451">
        <f>Report!G1892</f>
        <v>200</v>
      </c>
      <c r="F251" s="6">
        <f>Report!G1837</f>
        <v>723.29992000000016</v>
      </c>
      <c r="G251" s="512">
        <f>Report!D1916</f>
        <v>2237.9302571084845</v>
      </c>
      <c r="H251" s="512">
        <f>Report!E1916</f>
        <v>3.0940557232585952</v>
      </c>
      <c r="I251" s="207" t="str">
        <f>Report!F1916</f>
        <v>[ OK ]</v>
      </c>
    </row>
    <row r="252" spans="2:10" ht="18.75" customHeight="1" x14ac:dyDescent="0.25">
      <c r="C252" s="196">
        <f>Report!B1917</f>
        <v>7</v>
      </c>
      <c r="D252" s="451">
        <f>'Input (4) &amp; Process (8)'!$I$6</f>
        <v>13</v>
      </c>
      <c r="E252" s="451">
        <f>Report!G1893</f>
        <v>200</v>
      </c>
      <c r="F252" s="6">
        <f>Report!G1838</f>
        <v>671.63564000000019</v>
      </c>
      <c r="G252" s="512">
        <f>Report!D1917</f>
        <v>2254.9339705349412</v>
      </c>
      <c r="H252" s="512">
        <f>Report!E1917</f>
        <v>3.3573768815111427</v>
      </c>
      <c r="I252" s="207" t="str">
        <f>Report!F1917</f>
        <v>[ OK ]</v>
      </c>
    </row>
    <row r="253" spans="2:10" ht="18.75" customHeight="1" x14ac:dyDescent="0.25">
      <c r="C253" s="196">
        <f>Report!B1918</f>
        <v>8</v>
      </c>
      <c r="D253" s="451">
        <f>'Input (4) &amp; Process (8)'!$I$6</f>
        <v>13</v>
      </c>
      <c r="E253" s="451">
        <f>Report!G1894</f>
        <v>200</v>
      </c>
      <c r="F253" s="6">
        <f>Report!G1839</f>
        <v>619.97136000000012</v>
      </c>
      <c r="G253" s="512">
        <f>Report!D1918</f>
        <v>2243.4699456519338</v>
      </c>
      <c r="H253" s="512">
        <f>Report!E1918</f>
        <v>3.6186670714142881</v>
      </c>
      <c r="I253" s="207" t="str">
        <f>Report!F1918</f>
        <v>[ OK ]</v>
      </c>
    </row>
    <row r="254" spans="2:10" ht="18.75" customHeight="1" x14ac:dyDescent="0.25">
      <c r="C254" s="196">
        <f>Report!B1919</f>
        <v>9</v>
      </c>
      <c r="D254" s="451">
        <f>'Input (4) &amp; Process (8)'!$I$6</f>
        <v>13</v>
      </c>
      <c r="E254" s="451">
        <f>Report!G1895</f>
        <v>200</v>
      </c>
      <c r="F254" s="6">
        <f>Report!G1840</f>
        <v>568.30708000000016</v>
      </c>
      <c r="G254" s="512">
        <f>Report!D1919</f>
        <v>2232.0014042577609</v>
      </c>
      <c r="H254" s="512">
        <f>Report!E1919</f>
        <v>3.9274566212649686</v>
      </c>
      <c r="I254" s="207" t="str">
        <f>Report!F1919</f>
        <v>[ OK ]</v>
      </c>
    </row>
    <row r="255" spans="2:10" ht="18.75" customHeight="1" x14ac:dyDescent="0.25">
      <c r="C255" s="196">
        <f>Report!B1920</f>
        <v>10</v>
      </c>
      <c r="D255" s="451">
        <f>'Input (4) &amp; Process (8)'!$I$6</f>
        <v>13</v>
      </c>
      <c r="E255" s="451">
        <f>Report!G1896</f>
        <v>200</v>
      </c>
      <c r="F255" s="6">
        <f>Report!G1841</f>
        <v>516.64280000000008</v>
      </c>
      <c r="G255" s="512">
        <f>Report!D1920</f>
        <v>2220.5284846646141</v>
      </c>
      <c r="H255" s="512">
        <f>Report!E1920</f>
        <v>4.2979956067608294</v>
      </c>
      <c r="I255" s="207" t="str">
        <f>Report!F1920</f>
        <v>[ OK ]</v>
      </c>
    </row>
    <row r="256" spans="2:10" ht="18.75" customHeight="1" x14ac:dyDescent="0.25">
      <c r="C256" s="196">
        <f>Report!B1921</f>
        <v>11</v>
      </c>
      <c r="D256" s="451">
        <f>'Input (4) &amp; Process (8)'!$I$6</f>
        <v>13</v>
      </c>
      <c r="E256" s="451">
        <f>Report!G1897</f>
        <v>200</v>
      </c>
      <c r="F256" s="6">
        <f>Report!G1842</f>
        <v>464.97852000000006</v>
      </c>
      <c r="G256" s="512">
        <f>Report!D1921</f>
        <v>2209.0513254517314</v>
      </c>
      <c r="H256" s="512">
        <f>Report!E1921</f>
        <v>4.7508674711505625</v>
      </c>
      <c r="I256" s="207" t="str">
        <f>Report!F1921</f>
        <v>[ OK ]</v>
      </c>
    </row>
    <row r="257" spans="3:9" ht="18.75" customHeight="1" x14ac:dyDescent="0.25">
      <c r="C257" s="196">
        <f>Report!B1922</f>
        <v>12</v>
      </c>
      <c r="D257" s="451">
        <f>'Input (4) &amp; Process (8)'!$I$6</f>
        <v>13</v>
      </c>
      <c r="E257" s="451">
        <f>Report!G1898</f>
        <v>200</v>
      </c>
      <c r="F257" s="6">
        <f>Report!G1843</f>
        <v>413.3142400000001</v>
      </c>
      <c r="G257" s="512">
        <f>Report!D1922</f>
        <v>2197.5700654571624</v>
      </c>
      <c r="H257" s="512">
        <f>Report!E1922</f>
        <v>5.3169473799333939</v>
      </c>
      <c r="I257" s="207" t="str">
        <f>Report!F1922</f>
        <v>[ OK ]</v>
      </c>
    </row>
    <row r="258" spans="3:9" ht="18.75" customHeight="1" x14ac:dyDescent="0.25">
      <c r="C258" s="196">
        <f>Report!B1923</f>
        <v>13</v>
      </c>
      <c r="D258" s="451">
        <f>'Input (4) &amp; Process (8)'!$I$6</f>
        <v>13</v>
      </c>
      <c r="E258" s="451">
        <f>Report!G1899</f>
        <v>200</v>
      </c>
      <c r="F258" s="6">
        <f>Report!G1844</f>
        <v>361.64996000000008</v>
      </c>
      <c r="G258" s="512">
        <f>Report!D1923</f>
        <v>2186.0848437694922</v>
      </c>
      <c r="H258" s="512">
        <f>Report!E1923</f>
        <v>6.0447534510151524</v>
      </c>
      <c r="I258" s="207" t="str">
        <f>Report!F1923</f>
        <v>[ OK ]</v>
      </c>
    </row>
    <row r="259" spans="3:9" ht="18.75" customHeight="1" x14ac:dyDescent="0.25">
      <c r="C259" s="196">
        <f>Report!B1924</f>
        <v>14</v>
      </c>
      <c r="D259" s="451">
        <f>'Input (4) &amp; Process (8)'!$I$6</f>
        <v>13</v>
      </c>
      <c r="E259" s="451">
        <f>Report!G1900</f>
        <v>200</v>
      </c>
      <c r="F259" s="6">
        <f>Report!G1845</f>
        <v>309.98568000000006</v>
      </c>
      <c r="G259" s="512">
        <f>Report!D1924</f>
        <v>2174.5957997195374</v>
      </c>
      <c r="H259" s="512">
        <f>Report!E1924</f>
        <v>7.0151492150203101</v>
      </c>
      <c r="I259" s="207" t="str">
        <f>Report!F1924</f>
        <v>[ OK ]</v>
      </c>
    </row>
    <row r="260" spans="3:9" ht="18.75" customHeight="1" x14ac:dyDescent="0.25">
      <c r="C260" s="196">
        <f>Report!B1925</f>
        <v>15</v>
      </c>
      <c r="D260" s="451">
        <f>'Input (4) &amp; Process (8)'!$I$6</f>
        <v>13</v>
      </c>
      <c r="E260" s="451">
        <f>Report!G1901</f>
        <v>200</v>
      </c>
      <c r="F260" s="6">
        <f>Report!G1846</f>
        <v>258.32140000000004</v>
      </c>
      <c r="G260" s="512">
        <f>Report!D1925</f>
        <v>2163.1030728720016</v>
      </c>
      <c r="H260" s="512">
        <f>Report!E1925</f>
        <v>8.3736890279783296</v>
      </c>
      <c r="I260" s="207" t="str">
        <f>Report!F1925</f>
        <v>[ OK ]</v>
      </c>
    </row>
    <row r="261" spans="3:9" ht="18.75" customHeight="1" x14ac:dyDescent="0.25">
      <c r="C261" s="196">
        <f>Report!B1926</f>
        <v>16</v>
      </c>
      <c r="D261" s="451">
        <f>'Input (4) &amp; Process (8)'!$I$6</f>
        <v>13</v>
      </c>
      <c r="E261" s="451">
        <f>Report!G1902</f>
        <v>200</v>
      </c>
      <c r="F261" s="6">
        <f>Report!G1847</f>
        <v>206.65712000000005</v>
      </c>
      <c r="G261" s="512">
        <f>Report!D1926</f>
        <v>2151.6068030170973</v>
      </c>
      <c r="H261" s="512">
        <f>Report!E1926</f>
        <v>10.411481603039357</v>
      </c>
      <c r="I261" s="207" t="str">
        <f>Report!F1926</f>
        <v>[ OK ]</v>
      </c>
    </row>
    <row r="262" spans="3:9" ht="18.75" customHeight="1" x14ac:dyDescent="0.25">
      <c r="C262" s="196">
        <f>Report!B1927</f>
        <v>17</v>
      </c>
      <c r="D262" s="451">
        <f>'Input (4) &amp; Process (8)'!$I$6</f>
        <v>13</v>
      </c>
      <c r="E262" s="451">
        <f>Report!G1903</f>
        <v>200</v>
      </c>
      <c r="F262" s="6">
        <f>Report!G1848</f>
        <v>154.99284000000003</v>
      </c>
      <c r="G262" s="512">
        <f>Report!D1927</f>
        <v>2140.1071301621428</v>
      </c>
      <c r="H262" s="512">
        <f>Report!E1927</f>
        <v>13.807780605621153</v>
      </c>
      <c r="I262" s="207" t="str">
        <f>Report!F1927</f>
        <v>[ OK ]</v>
      </c>
    </row>
    <row r="263" spans="3:9" ht="18.75" customHeight="1" x14ac:dyDescent="0.25">
      <c r="C263" s="196">
        <f>Report!B1928</f>
        <v>18</v>
      </c>
      <c r="D263" s="451">
        <f>'Input (4) &amp; Process (8)'!$I$6</f>
        <v>13</v>
      </c>
      <c r="E263" s="451">
        <f>Report!G1904</f>
        <v>200</v>
      </c>
      <c r="F263" s="6">
        <f>Report!G1849</f>
        <v>103.32856000000002</v>
      </c>
      <c r="G263" s="512">
        <f>Report!D1928</f>
        <v>2128.60419452312</v>
      </c>
      <c r="H263" s="512">
        <f>Report!E1928</f>
        <v>20.600347033996403</v>
      </c>
      <c r="I263" s="207" t="str">
        <f>Report!F1928</f>
        <v>[ OK ]</v>
      </c>
    </row>
    <row r="264" spans="3:9" ht="18.75" customHeight="1" x14ac:dyDescent="0.25">
      <c r="C264" s="196">
        <f>Report!B1929</f>
        <v>19</v>
      </c>
      <c r="D264" s="451">
        <f>'Input (4) &amp; Process (8)'!$I$6</f>
        <v>13</v>
      </c>
      <c r="E264" s="451">
        <f>Report!G1905</f>
        <v>200</v>
      </c>
      <c r="F264" s="6">
        <f>Report!G1850</f>
        <v>51.664280000000012</v>
      </c>
      <c r="G264" s="512">
        <f>Report!D1929</f>
        <v>2117.0981365162074</v>
      </c>
      <c r="H264" s="512">
        <f>Report!E1929</f>
        <v>40.97798588340352</v>
      </c>
      <c r="I264" s="207" t="str">
        <f>Report!F1929</f>
        <v>[ OK ]</v>
      </c>
    </row>
    <row r="265" spans="3:9" ht="18.75" customHeight="1" x14ac:dyDescent="0.25">
      <c r="C265" s="196">
        <f>Report!B1930</f>
        <v>20</v>
      </c>
      <c r="D265" s="451">
        <f>'Input (4) &amp; Process (8)'!$I$6</f>
        <v>13</v>
      </c>
      <c r="E265" s="451">
        <f>Report!G1906</f>
        <v>200</v>
      </c>
      <c r="F265" s="6">
        <f>Report!G1851</f>
        <v>3.0515199301858855</v>
      </c>
      <c r="G265" s="512">
        <f>Report!D1930</f>
        <v>2105.5890967492815</v>
      </c>
      <c r="H265" s="512">
        <f>Report!E1930</f>
        <v>690.01322125430715</v>
      </c>
      <c r="I265" s="207" t="str">
        <f>Report!F1930</f>
        <v>[ OK ]</v>
      </c>
    </row>
  </sheetData>
  <mergeCells count="50">
    <mergeCell ref="F178:G178"/>
    <mergeCell ref="F12:F13"/>
    <mergeCell ref="H12:H13"/>
    <mergeCell ref="H25:H26"/>
    <mergeCell ref="C35:C36"/>
    <mergeCell ref="F35:I35"/>
    <mergeCell ref="C175:E175"/>
    <mergeCell ref="F175:I175"/>
    <mergeCell ref="C176:E176"/>
    <mergeCell ref="F176:G176"/>
    <mergeCell ref="F177:G177"/>
    <mergeCell ref="C179:E179"/>
    <mergeCell ref="F179:G179"/>
    <mergeCell ref="F180:G180"/>
    <mergeCell ref="F181:G181"/>
    <mergeCell ref="C183:E183"/>
    <mergeCell ref="F183:I183"/>
    <mergeCell ref="C184:E184"/>
    <mergeCell ref="F184:G184"/>
    <mergeCell ref="F185:G185"/>
    <mergeCell ref="F186:G186"/>
    <mergeCell ref="C187:E187"/>
    <mergeCell ref="F187:G187"/>
    <mergeCell ref="F197:G197"/>
    <mergeCell ref="F188:G188"/>
    <mergeCell ref="F189:G189"/>
    <mergeCell ref="C191:E191"/>
    <mergeCell ref="F191:I191"/>
    <mergeCell ref="C192:E192"/>
    <mergeCell ref="F192:G192"/>
    <mergeCell ref="F193:G193"/>
    <mergeCell ref="F194:G194"/>
    <mergeCell ref="C195:E195"/>
    <mergeCell ref="F195:G195"/>
    <mergeCell ref="F196:G196"/>
    <mergeCell ref="C205:E205"/>
    <mergeCell ref="F205:G205"/>
    <mergeCell ref="F206:G206"/>
    <mergeCell ref="F207:G207"/>
    <mergeCell ref="C199:E199"/>
    <mergeCell ref="F199:I199"/>
    <mergeCell ref="C200:E200"/>
    <mergeCell ref="F200:G200"/>
    <mergeCell ref="F201:G201"/>
    <mergeCell ref="F202:G202"/>
    <mergeCell ref="F208:G208"/>
    <mergeCell ref="F209:G209"/>
    <mergeCell ref="H243:I243"/>
    <mergeCell ref="F203:G203"/>
    <mergeCell ref="F204:G204"/>
  </mergeCells>
  <conditionalFormatting sqref="I90 I86">
    <cfRule type="containsText" dxfId="49" priority="14" operator="containsText" text="[ NOT OK ]">
      <formula>NOT(ISERROR(SEARCH("[ NOT OK ]",I86)))</formula>
    </cfRule>
    <cfRule type="containsText" dxfId="48" priority="15" operator="containsText" text="[ OK ]">
      <formula>NOT(ISERROR(SEARCH("[ OK ]",I86)))</formula>
    </cfRule>
  </conditionalFormatting>
  <conditionalFormatting sqref="I180:I181 I188:I189 I196:I197 I206:I209">
    <cfRule type="containsText" dxfId="47" priority="13" operator="containsText" text="[ OK ]">
      <formula>NOT(ISERROR(SEARCH("[ OK ]",I180)))</formula>
    </cfRule>
  </conditionalFormatting>
  <conditionalFormatting sqref="I180:I181 I188:I189 I196:I197 I206:I209">
    <cfRule type="containsText" dxfId="46" priority="12" operator="containsText" text="[ NOT OK ]">
      <formula>NOT(ISERROR(SEARCH("[ NOT OK ]",I180)))</formula>
    </cfRule>
  </conditionalFormatting>
  <conditionalFormatting sqref="I177:I178 I185:I186 I193:I194">
    <cfRule type="containsText" dxfId="45" priority="10" operator="containsText" text="[ NOT OK ]">
      <formula>NOT(ISERROR(SEARCH("[ NOT OK ]",I177)))</formula>
    </cfRule>
    <cfRule type="containsText" dxfId="44" priority="11" operator="containsText" text="[ OK ]">
      <formula>NOT(ISERROR(SEARCH("[ OK ]",I177)))</formula>
    </cfRule>
  </conditionalFormatting>
  <conditionalFormatting sqref="F185:G186 F188:G189 F193:G194 F196:G197 F206:G209 F177:G178 F180:G181">
    <cfRule type="cellIs" dxfId="43" priority="8" operator="greaterThanOrEqual">
      <formula>0</formula>
    </cfRule>
    <cfRule type="cellIs" dxfId="42" priority="9" operator="lessThan">
      <formula>0</formula>
    </cfRule>
  </conditionalFormatting>
  <conditionalFormatting sqref="I234 I238">
    <cfRule type="containsText" dxfId="41" priority="6" operator="containsText" text="[ NOT OK ]">
      <formula>NOT(ISERROR(SEARCH("[ NOT OK ]",I234)))</formula>
    </cfRule>
    <cfRule type="containsText" dxfId="40" priority="7" operator="containsText" text="[ OK ]">
      <formula>NOT(ISERROR(SEARCH("[ OK ]",I234)))</formula>
    </cfRule>
  </conditionalFormatting>
  <conditionalFormatting sqref="I229 I224 I220">
    <cfRule type="containsText" dxfId="39" priority="4" operator="containsText" text="[ NOT OK ]">
      <formula>NOT(ISERROR(SEARCH("[ NOT OK ]",I220)))</formula>
    </cfRule>
    <cfRule type="containsText" dxfId="38" priority="5" operator="containsText" text="[ OK ]">
      <formula>NOT(ISERROR(SEARCH("[ OK ]",I220)))</formula>
    </cfRule>
  </conditionalFormatting>
  <conditionalFormatting sqref="I245:I265">
    <cfRule type="containsText" dxfId="37" priority="2" operator="containsText" text="[ NOT OK ]">
      <formula>NOT(ISERROR(SEARCH("[ NOT OK ]",I245)))</formula>
    </cfRule>
    <cfRule type="containsText" dxfId="36" priority="3" operator="containsText" text="[ OK ]">
      <formula>NOT(ISERROR(SEARCH("[ OK ]",I245)))</formula>
    </cfRule>
  </conditionalFormatting>
  <conditionalFormatting sqref="G245:G265">
    <cfRule type="colorScale" priority="1">
      <colorScale>
        <cfvo type="min"/>
        <cfvo type="max"/>
        <color theme="7" tint="0.79998168889431442"/>
        <color theme="4" tint="0.59999389629810485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7AB7-0B7C-462F-964F-807F80BA3A9E}">
  <sheetPr>
    <tabColor rgb="FF7030A0"/>
  </sheetPr>
  <dimension ref="A1:L1952"/>
  <sheetViews>
    <sheetView showGridLines="0" view="pageLayout" zoomScaleNormal="100" workbookViewId="0">
      <selection sqref="A1:I1"/>
    </sheetView>
  </sheetViews>
  <sheetFormatPr defaultColWidth="9.140625" defaultRowHeight="18.75" customHeight="1" x14ac:dyDescent="0.25"/>
  <cols>
    <col min="1" max="1" width="5" style="87" customWidth="1"/>
    <col min="2" max="9" width="10.28515625" style="1" customWidth="1"/>
    <col min="10" max="16384" width="9.140625" style="1"/>
  </cols>
  <sheetData>
    <row r="1" spans="1:9" ht="18.75" customHeight="1" x14ac:dyDescent="0.25">
      <c r="A1" s="662" t="s">
        <v>1246</v>
      </c>
      <c r="B1" s="662"/>
      <c r="C1" s="662"/>
      <c r="D1" s="662"/>
      <c r="E1" s="662"/>
      <c r="F1" s="662"/>
      <c r="G1" s="662"/>
      <c r="H1" s="662"/>
      <c r="I1" s="662"/>
    </row>
    <row r="2" spans="1:9" ht="18.75" customHeight="1" x14ac:dyDescent="0.25">
      <c r="D2" s="383"/>
      <c r="E2" s="383"/>
      <c r="F2" s="383"/>
      <c r="G2" s="383"/>
      <c r="H2" s="383"/>
      <c r="I2" s="383"/>
    </row>
    <row r="3" spans="1:9" ht="37.5" customHeight="1" x14ac:dyDescent="0.25">
      <c r="A3" s="663"/>
      <c r="B3" s="663"/>
      <c r="C3" s="663"/>
      <c r="D3" s="4" t="s">
        <v>1247</v>
      </c>
      <c r="F3" s="664" t="s">
        <v>1248</v>
      </c>
      <c r="G3" s="665"/>
      <c r="H3" s="665"/>
      <c r="I3" s="666"/>
    </row>
    <row r="4" spans="1:9" ht="18.75" customHeight="1" x14ac:dyDescent="0.25">
      <c r="A4" s="663"/>
      <c r="B4" s="663"/>
      <c r="C4" s="663"/>
      <c r="D4" s="4" t="s">
        <v>1249</v>
      </c>
      <c r="F4" s="667" t="s">
        <v>1276</v>
      </c>
      <c r="G4" s="659"/>
      <c r="H4" s="659"/>
      <c r="I4" s="668"/>
    </row>
    <row r="5" spans="1:9" ht="18.75" customHeight="1" x14ac:dyDescent="0.25">
      <c r="A5" s="663"/>
      <c r="B5" s="663"/>
      <c r="C5" s="663"/>
      <c r="D5" s="4" t="s">
        <v>1250</v>
      </c>
      <c r="F5" s="658" t="s">
        <v>1251</v>
      </c>
      <c r="G5" s="659"/>
      <c r="H5" s="659"/>
      <c r="I5" s="668"/>
    </row>
    <row r="6" spans="1:9" ht="18.75" customHeight="1" x14ac:dyDescent="0.25">
      <c r="A6" s="663"/>
      <c r="B6" s="663"/>
      <c r="C6" s="663"/>
      <c r="D6" s="4" t="s">
        <v>1252</v>
      </c>
      <c r="F6" s="669" t="s">
        <v>976</v>
      </c>
      <c r="G6" s="659"/>
      <c r="H6" s="659"/>
      <c r="I6" s="668"/>
    </row>
    <row r="8" spans="1:9" ht="18.75" customHeight="1" x14ac:dyDescent="0.25">
      <c r="A8" s="481" t="s">
        <v>1253</v>
      </c>
      <c r="B8" s="482" t="s">
        <v>1254</v>
      </c>
      <c r="C8" s="483"/>
      <c r="D8" s="483"/>
      <c r="E8" s="483"/>
      <c r="F8" s="483"/>
      <c r="G8" s="484"/>
      <c r="H8" s="485"/>
      <c r="I8" s="486"/>
    </row>
    <row r="9" spans="1:9" ht="18.75" customHeight="1" x14ac:dyDescent="0.25">
      <c r="A9" s="472" t="s">
        <v>567</v>
      </c>
      <c r="B9" s="473" t="s">
        <v>568</v>
      </c>
      <c r="C9" s="474"/>
      <c r="D9" s="474"/>
      <c r="E9" s="474"/>
      <c r="F9" s="474"/>
      <c r="G9" s="475"/>
      <c r="H9" s="476"/>
      <c r="I9" s="477"/>
    </row>
    <row r="19" spans="1:11" ht="18.75" customHeight="1" x14ac:dyDescent="0.25">
      <c r="A19" s="132"/>
      <c r="B19" s="42" t="s">
        <v>0</v>
      </c>
      <c r="C19" s="42"/>
      <c r="D19" s="42"/>
      <c r="E19" s="42"/>
      <c r="F19" s="42"/>
      <c r="G19" s="30" t="s">
        <v>1</v>
      </c>
      <c r="H19" s="47">
        <f>'Input (1)'!H13</f>
        <v>0.25</v>
      </c>
      <c r="I19" s="32" t="s">
        <v>2</v>
      </c>
      <c r="J19" s="42"/>
      <c r="K19" s="42"/>
    </row>
    <row r="20" spans="1:11" ht="18.75" customHeight="1" x14ac:dyDescent="0.25">
      <c r="A20" s="132"/>
      <c r="B20" s="42" t="s">
        <v>3</v>
      </c>
      <c r="C20" s="42"/>
      <c r="D20" s="42"/>
      <c r="E20" s="42"/>
      <c r="F20" s="42"/>
      <c r="G20" s="30" t="s">
        <v>4</v>
      </c>
      <c r="H20" s="47">
        <f>'Input (1)'!H14</f>
        <v>50</v>
      </c>
      <c r="I20" s="32" t="s">
        <v>5</v>
      </c>
      <c r="J20" s="42"/>
      <c r="K20" s="42"/>
    </row>
    <row r="21" spans="1:11" ht="18.75" customHeight="1" x14ac:dyDescent="0.25">
      <c r="A21" s="132"/>
      <c r="B21" s="42" t="s">
        <v>1172</v>
      </c>
      <c r="C21" s="42"/>
      <c r="D21" s="42"/>
      <c r="E21" s="42"/>
      <c r="F21" s="42"/>
      <c r="G21" s="30" t="s">
        <v>1173</v>
      </c>
      <c r="H21" s="47">
        <f>'Input (1)'!H15</f>
        <v>50</v>
      </c>
      <c r="I21" s="32" t="s">
        <v>5</v>
      </c>
      <c r="J21" s="42"/>
      <c r="K21" s="42"/>
    </row>
    <row r="22" spans="1:11" ht="18.75" customHeight="1" x14ac:dyDescent="0.25">
      <c r="A22" s="132"/>
      <c r="B22" s="42" t="s">
        <v>6</v>
      </c>
      <c r="C22" s="42"/>
      <c r="D22" s="42"/>
      <c r="E22" s="42"/>
      <c r="F22" s="42"/>
      <c r="G22" s="30" t="s">
        <v>7</v>
      </c>
      <c r="H22" s="47">
        <f>'Input (1)'!H16</f>
        <v>0.1</v>
      </c>
      <c r="I22" s="32" t="s">
        <v>2</v>
      </c>
      <c r="J22" s="42"/>
      <c r="K22" s="42"/>
    </row>
    <row r="23" spans="1:11" ht="18.75" customHeight="1" x14ac:dyDescent="0.25">
      <c r="A23" s="132"/>
      <c r="B23" s="42" t="s">
        <v>8</v>
      </c>
      <c r="C23" s="42"/>
      <c r="D23" s="42"/>
      <c r="E23" s="42"/>
      <c r="F23" s="42"/>
      <c r="G23" s="30" t="s">
        <v>9</v>
      </c>
      <c r="H23" s="47">
        <f>'Input (1)'!H17</f>
        <v>0.05</v>
      </c>
      <c r="I23" s="32" t="s">
        <v>2</v>
      </c>
      <c r="J23" s="42"/>
      <c r="K23" s="42"/>
    </row>
    <row r="24" spans="1:11" ht="18.75" customHeight="1" x14ac:dyDescent="0.25">
      <c r="A24" s="132"/>
      <c r="B24" s="42" t="s">
        <v>883</v>
      </c>
      <c r="C24" s="42"/>
      <c r="D24" s="42"/>
      <c r="E24" s="42"/>
      <c r="F24" s="42"/>
      <c r="G24" s="30" t="s">
        <v>11</v>
      </c>
      <c r="H24" s="15">
        <f>'Input (1)'!H18</f>
        <v>1.85</v>
      </c>
      <c r="I24" s="32" t="s">
        <v>2</v>
      </c>
      <c r="J24" s="42"/>
      <c r="K24" s="42"/>
    </row>
    <row r="25" spans="1:11" ht="18.75" customHeight="1" x14ac:dyDescent="0.25">
      <c r="A25" s="132"/>
      <c r="B25" s="42" t="s">
        <v>12</v>
      </c>
      <c r="C25" s="42"/>
      <c r="D25" s="42"/>
      <c r="E25" s="42"/>
      <c r="F25" s="42"/>
      <c r="G25" s="30" t="s">
        <v>13</v>
      </c>
      <c r="H25" s="47">
        <f>'Input (1)'!H19</f>
        <v>4</v>
      </c>
      <c r="I25" s="32" t="s">
        <v>2</v>
      </c>
      <c r="J25" s="42"/>
      <c r="K25" s="42"/>
    </row>
    <row r="26" spans="1:11" ht="18.75" customHeight="1" x14ac:dyDescent="0.25">
      <c r="A26" s="132"/>
      <c r="B26" s="42" t="s">
        <v>14</v>
      </c>
      <c r="C26" s="42"/>
      <c r="D26" s="42"/>
      <c r="E26" s="42"/>
      <c r="F26" s="42"/>
      <c r="G26" s="30" t="s">
        <v>15</v>
      </c>
      <c r="H26" s="47">
        <f>'Input (1)'!H20</f>
        <v>1.5</v>
      </c>
      <c r="I26" s="32" t="s">
        <v>2</v>
      </c>
      <c r="J26" s="42"/>
      <c r="K26" s="42"/>
    </row>
    <row r="27" spans="1:11" ht="18.75" customHeight="1" x14ac:dyDescent="0.25">
      <c r="A27" s="132"/>
      <c r="B27" s="42" t="s">
        <v>16</v>
      </c>
      <c r="C27" s="42"/>
      <c r="D27" s="42"/>
      <c r="E27" s="42"/>
      <c r="F27" s="42"/>
      <c r="G27" s="30" t="s">
        <v>17</v>
      </c>
      <c r="H27" s="47">
        <f>'Input (1)'!H21</f>
        <v>0</v>
      </c>
      <c r="I27" s="32" t="s">
        <v>2</v>
      </c>
      <c r="J27" s="42"/>
      <c r="K27" s="42"/>
    </row>
    <row r="28" spans="1:11" ht="18.75" customHeight="1" x14ac:dyDescent="0.25">
      <c r="A28" s="132"/>
      <c r="B28" s="42" t="s">
        <v>752</v>
      </c>
      <c r="C28" s="42"/>
      <c r="D28" s="42"/>
      <c r="E28" s="42"/>
      <c r="F28" s="42"/>
      <c r="G28" s="30" t="s">
        <v>132</v>
      </c>
      <c r="H28" s="182">
        <f>'Input (1)'!H22</f>
        <v>9</v>
      </c>
      <c r="I28" s="32"/>
      <c r="J28" s="42"/>
      <c r="K28" s="42"/>
    </row>
    <row r="29" spans="1:11" ht="18.75" customHeight="1" x14ac:dyDescent="0.25">
      <c r="A29" s="132"/>
      <c r="B29" s="42" t="s">
        <v>876</v>
      </c>
      <c r="C29" s="42"/>
      <c r="D29" s="42"/>
      <c r="E29" s="42"/>
      <c r="F29" s="42"/>
      <c r="G29" s="30" t="s">
        <v>877</v>
      </c>
      <c r="H29" s="47">
        <f>'Input (1)'!H23</f>
        <v>0.2</v>
      </c>
      <c r="I29" s="32" t="s">
        <v>2</v>
      </c>
      <c r="J29" s="42"/>
      <c r="K29" s="42"/>
    </row>
    <row r="30" spans="1:11" ht="18.75" customHeight="1" x14ac:dyDescent="0.25">
      <c r="A30" s="132"/>
      <c r="B30" s="42" t="s">
        <v>20</v>
      </c>
      <c r="C30" s="42"/>
      <c r="D30" s="42"/>
      <c r="E30" s="42"/>
      <c r="F30" s="42"/>
      <c r="G30" s="30" t="s">
        <v>21</v>
      </c>
      <c r="H30" s="47">
        <f>'Input (1)'!H24</f>
        <v>40</v>
      </c>
      <c r="I30" s="32" t="s">
        <v>2</v>
      </c>
      <c r="J30" s="42"/>
      <c r="K30" s="42"/>
    </row>
    <row r="31" spans="1:11" ht="18.75" customHeight="1" x14ac:dyDescent="0.25">
      <c r="A31" s="132"/>
      <c r="B31" s="42" t="s">
        <v>980</v>
      </c>
      <c r="C31" s="42"/>
      <c r="D31" s="42"/>
      <c r="E31" s="42"/>
      <c r="F31" s="42"/>
      <c r="G31" s="30" t="s">
        <v>23</v>
      </c>
      <c r="H31" s="14">
        <f>'Input (1)'!H25</f>
        <v>14</v>
      </c>
      <c r="I31" s="32" t="s">
        <v>2</v>
      </c>
      <c r="J31" s="42"/>
      <c r="K31" s="42"/>
    </row>
    <row r="32" spans="1:11" ht="18.75" customHeight="1" x14ac:dyDescent="0.25">
      <c r="A32" s="132"/>
      <c r="B32" s="42"/>
      <c r="C32" s="42"/>
      <c r="D32" s="42"/>
      <c r="E32" s="42"/>
      <c r="F32" s="42"/>
      <c r="G32" s="30"/>
      <c r="H32" s="31"/>
      <c r="I32" s="32"/>
      <c r="J32" s="42"/>
      <c r="K32" s="42"/>
    </row>
    <row r="33" spans="1:11" ht="18.75" customHeight="1" x14ac:dyDescent="0.25">
      <c r="A33" s="132" t="s">
        <v>569</v>
      </c>
      <c r="B33" s="521" t="s">
        <v>570</v>
      </c>
      <c r="C33" s="42"/>
      <c r="D33" s="42"/>
      <c r="E33" s="42"/>
      <c r="F33" s="42"/>
      <c r="G33" s="30"/>
      <c r="H33" s="31"/>
      <c r="I33" s="32"/>
      <c r="J33" s="42"/>
      <c r="K33" s="42"/>
    </row>
    <row r="34" spans="1:11" ht="18.75" customHeight="1" x14ac:dyDescent="0.25">
      <c r="A34" s="529"/>
      <c r="B34" s="521" t="s">
        <v>571</v>
      </c>
      <c r="C34" s="42"/>
      <c r="D34" s="42"/>
      <c r="E34" s="42"/>
      <c r="F34" s="42"/>
      <c r="G34" s="30"/>
      <c r="H34" s="31"/>
      <c r="I34" s="32"/>
      <c r="J34" s="42"/>
      <c r="K34" s="42"/>
    </row>
    <row r="35" spans="1:11" ht="18.75" customHeight="1" x14ac:dyDescent="0.25">
      <c r="A35" s="132"/>
      <c r="B35" s="42" t="s">
        <v>27</v>
      </c>
      <c r="C35" s="42"/>
      <c r="D35" s="42"/>
      <c r="E35" s="42"/>
      <c r="F35" s="42"/>
      <c r="G35" s="336" t="s">
        <v>43</v>
      </c>
      <c r="H35" s="47">
        <f>'Input (1)'!H29</f>
        <v>50</v>
      </c>
      <c r="I35" s="32" t="s">
        <v>28</v>
      </c>
      <c r="J35" s="42"/>
      <c r="K35" s="42"/>
    </row>
    <row r="36" spans="1:11" ht="18.75" customHeight="1" x14ac:dyDescent="0.25">
      <c r="A36" s="132"/>
      <c r="B36" s="42" t="s">
        <v>25</v>
      </c>
      <c r="C36" s="42"/>
      <c r="D36" s="42"/>
      <c r="E36" s="42"/>
      <c r="F36" s="42"/>
      <c r="G36" s="279" t="s">
        <v>410</v>
      </c>
      <c r="H36" s="487">
        <f>'Input (1)'!H30</f>
        <v>1.1E-5</v>
      </c>
      <c r="I36" s="32" t="s">
        <v>26</v>
      </c>
      <c r="J36" s="42"/>
      <c r="K36" s="42"/>
    </row>
    <row r="37" spans="1:11" ht="18.75" customHeight="1" x14ac:dyDescent="0.25">
      <c r="A37" s="530"/>
      <c r="B37" s="521" t="s">
        <v>572</v>
      </c>
      <c r="C37" s="89"/>
      <c r="D37" s="89"/>
      <c r="E37" s="89"/>
      <c r="F37" s="89"/>
      <c r="G37" s="253"/>
      <c r="H37" s="128"/>
      <c r="I37" s="143"/>
      <c r="J37" s="42"/>
      <c r="K37" s="42"/>
    </row>
    <row r="38" spans="1:11" ht="18.75" customHeight="1" x14ac:dyDescent="0.25">
      <c r="A38" s="132"/>
      <c r="B38" s="42" t="s">
        <v>24</v>
      </c>
      <c r="C38" s="42"/>
      <c r="D38" s="42"/>
      <c r="E38" s="42"/>
      <c r="F38" s="335"/>
      <c r="G38" s="336" t="s">
        <v>43</v>
      </c>
      <c r="H38" s="47">
        <f>'Input (1)'!H33</f>
        <v>29</v>
      </c>
      <c r="I38" s="32" t="s">
        <v>28</v>
      </c>
      <c r="J38" s="42"/>
      <c r="K38" s="42"/>
    </row>
    <row r="39" spans="1:11" ht="18.75" customHeight="1" x14ac:dyDescent="0.25">
      <c r="A39" s="132"/>
      <c r="B39" s="42" t="s">
        <v>25</v>
      </c>
      <c r="C39" s="42"/>
      <c r="D39" s="42"/>
      <c r="E39" s="42"/>
      <c r="F39" s="335"/>
      <c r="G39" s="279" t="s">
        <v>410</v>
      </c>
      <c r="H39" s="487">
        <f>'Input (1)'!H34</f>
        <v>1.1E-5</v>
      </c>
      <c r="I39" s="32" t="s">
        <v>26</v>
      </c>
      <c r="J39" s="42"/>
      <c r="K39" s="42"/>
    </row>
    <row r="40" spans="1:11" ht="18.75" customHeight="1" x14ac:dyDescent="0.25">
      <c r="A40" s="132"/>
      <c r="B40" s="42"/>
      <c r="C40" s="42"/>
      <c r="D40" s="42"/>
      <c r="E40" s="42"/>
      <c r="F40" s="42"/>
      <c r="G40" s="30"/>
      <c r="H40" s="17"/>
      <c r="I40" s="32"/>
      <c r="J40" s="42"/>
      <c r="K40" s="42"/>
    </row>
    <row r="41" spans="1:11" ht="18.75" customHeight="1" x14ac:dyDescent="0.25">
      <c r="A41" s="132" t="s">
        <v>573</v>
      </c>
      <c r="B41" s="522" t="s">
        <v>574</v>
      </c>
      <c r="C41" s="247"/>
      <c r="D41" s="247"/>
      <c r="E41" s="247"/>
      <c r="F41" s="247"/>
      <c r="G41" s="57"/>
      <c r="H41" s="115"/>
      <c r="I41" s="259"/>
      <c r="J41" s="42"/>
      <c r="K41" s="42"/>
    </row>
    <row r="42" spans="1:11" ht="18.75" customHeight="1" x14ac:dyDescent="0.25">
      <c r="A42" s="132"/>
      <c r="B42" s="247" t="s">
        <v>29</v>
      </c>
      <c r="C42" s="247"/>
      <c r="D42" s="247"/>
      <c r="E42" s="247"/>
      <c r="F42" s="247"/>
      <c r="G42" s="336" t="s">
        <v>30</v>
      </c>
      <c r="H42" s="14">
        <f>'Input (1)'!H37</f>
        <v>13</v>
      </c>
      <c r="I42" s="259" t="s">
        <v>5</v>
      </c>
      <c r="J42" s="42"/>
      <c r="K42" s="42"/>
    </row>
    <row r="43" spans="1:11" ht="18.75" customHeight="1" x14ac:dyDescent="0.25">
      <c r="A43" s="132"/>
      <c r="B43" s="247" t="s">
        <v>981</v>
      </c>
      <c r="C43" s="247"/>
      <c r="D43" s="247"/>
      <c r="E43" s="247"/>
      <c r="F43" s="247"/>
      <c r="G43" s="336" t="s">
        <v>30</v>
      </c>
      <c r="H43" s="14">
        <f>'Input (1)'!H38</f>
        <v>13</v>
      </c>
      <c r="I43" s="259" t="s">
        <v>5</v>
      </c>
      <c r="J43" s="42"/>
      <c r="K43" s="42"/>
    </row>
    <row r="44" spans="1:11" ht="18.75" customHeight="1" x14ac:dyDescent="0.25">
      <c r="A44" s="132"/>
      <c r="B44" s="247" t="s">
        <v>533</v>
      </c>
      <c r="C44" s="247"/>
      <c r="D44" s="247"/>
      <c r="E44" s="247"/>
      <c r="F44" s="247"/>
      <c r="G44" s="336" t="s">
        <v>535</v>
      </c>
      <c r="H44" s="14">
        <f>'Input (1)'!H39</f>
        <v>400</v>
      </c>
      <c r="I44" s="259" t="s">
        <v>28</v>
      </c>
      <c r="J44" s="42"/>
      <c r="K44" s="42"/>
    </row>
    <row r="45" spans="1:11" ht="18.75" customHeight="1" x14ac:dyDescent="0.25">
      <c r="A45" s="132"/>
      <c r="B45" s="247" t="s">
        <v>534</v>
      </c>
      <c r="C45" s="247"/>
      <c r="D45" s="247"/>
      <c r="E45" s="247"/>
      <c r="F45" s="247"/>
      <c r="G45" s="336" t="s">
        <v>535</v>
      </c>
      <c r="H45" s="14">
        <f>'Input (1)'!H40</f>
        <v>240</v>
      </c>
      <c r="I45" s="259" t="s">
        <v>28</v>
      </c>
      <c r="J45" s="42"/>
      <c r="K45" s="42"/>
    </row>
    <row r="46" spans="1:11" ht="18.75" customHeight="1" x14ac:dyDescent="0.25">
      <c r="A46" s="132"/>
      <c r="B46" s="42"/>
      <c r="C46" s="42"/>
      <c r="D46" s="42"/>
      <c r="E46" s="42"/>
      <c r="F46" s="42"/>
      <c r="G46" s="30"/>
      <c r="H46" s="31"/>
      <c r="I46" s="32"/>
      <c r="J46" s="42"/>
      <c r="K46" s="42"/>
    </row>
    <row r="47" spans="1:11" ht="18.75" customHeight="1" x14ac:dyDescent="0.25">
      <c r="A47" s="132" t="s">
        <v>575</v>
      </c>
      <c r="B47" s="521" t="s">
        <v>576</v>
      </c>
      <c r="C47" s="42"/>
      <c r="D47" s="42"/>
      <c r="E47" s="42"/>
      <c r="F47" s="42"/>
      <c r="G47" s="30"/>
      <c r="H47" s="31"/>
      <c r="I47" s="32"/>
      <c r="J47" s="42"/>
      <c r="K47" s="42"/>
    </row>
    <row r="48" spans="1:11" ht="18.75" customHeight="1" x14ac:dyDescent="0.25">
      <c r="A48" s="132"/>
      <c r="B48" s="247" t="s">
        <v>793</v>
      </c>
      <c r="C48" s="247"/>
      <c r="D48" s="247"/>
      <c r="E48" s="247"/>
      <c r="F48" s="247"/>
      <c r="G48" s="57" t="s">
        <v>31</v>
      </c>
      <c r="H48" s="47">
        <f>'Input (1)'!H43</f>
        <v>24</v>
      </c>
      <c r="I48" s="259" t="s">
        <v>32</v>
      </c>
      <c r="J48" s="42"/>
      <c r="K48" s="42"/>
    </row>
    <row r="49" spans="1:11" ht="18.75" customHeight="1" x14ac:dyDescent="0.25">
      <c r="A49" s="132"/>
      <c r="B49" s="247" t="s">
        <v>679</v>
      </c>
      <c r="C49" s="247"/>
      <c r="D49" s="247"/>
      <c r="E49" s="247"/>
      <c r="F49" s="247"/>
      <c r="G49" s="57" t="s">
        <v>31</v>
      </c>
      <c r="H49" s="47">
        <f>'Input (1)'!H44</f>
        <v>24</v>
      </c>
      <c r="I49" s="259" t="s">
        <v>32</v>
      </c>
      <c r="J49" s="42"/>
      <c r="K49" s="42"/>
    </row>
    <row r="50" spans="1:11" ht="18.75" customHeight="1" x14ac:dyDescent="0.25">
      <c r="A50" s="132"/>
      <c r="B50" s="247" t="s">
        <v>680</v>
      </c>
      <c r="C50" s="247"/>
      <c r="D50" s="247"/>
      <c r="E50" s="247"/>
      <c r="F50" s="247"/>
      <c r="G50" s="57" t="s">
        <v>33</v>
      </c>
      <c r="H50" s="47">
        <f>'Input (1)'!H45</f>
        <v>21.582000000000001</v>
      </c>
      <c r="I50" s="259" t="s">
        <v>32</v>
      </c>
      <c r="J50" s="42"/>
      <c r="K50" s="42"/>
    </row>
    <row r="51" spans="1:11" ht="18.75" customHeight="1" x14ac:dyDescent="0.25">
      <c r="A51" s="132"/>
      <c r="B51" s="247" t="s">
        <v>681</v>
      </c>
      <c r="C51" s="247"/>
      <c r="D51" s="247"/>
      <c r="E51" s="247"/>
      <c r="F51" s="247"/>
      <c r="G51" s="57" t="s">
        <v>35</v>
      </c>
      <c r="H51" s="47">
        <f>'Input (1)'!H46</f>
        <v>22</v>
      </c>
      <c r="I51" s="259" t="s">
        <v>32</v>
      </c>
      <c r="J51" s="42"/>
      <c r="K51" s="42"/>
    </row>
    <row r="52" spans="1:11" ht="18.75" customHeight="1" x14ac:dyDescent="0.25">
      <c r="A52" s="132"/>
      <c r="B52" s="247" t="s">
        <v>682</v>
      </c>
      <c r="C52" s="247"/>
      <c r="D52" s="247"/>
      <c r="E52" s="247"/>
      <c r="F52" s="247"/>
      <c r="G52" s="57" t="s">
        <v>37</v>
      </c>
      <c r="H52" s="47">
        <f>'Input (1)'!H47</f>
        <v>9.8000000000000007</v>
      </c>
      <c r="I52" s="259" t="s">
        <v>32</v>
      </c>
      <c r="J52" s="42"/>
      <c r="K52" s="42"/>
    </row>
    <row r="53" spans="1:11" ht="18.75" customHeight="1" x14ac:dyDescent="0.25">
      <c r="A53" s="132"/>
      <c r="B53" s="247" t="s">
        <v>683</v>
      </c>
      <c r="C53" s="247"/>
      <c r="D53" s="247"/>
      <c r="E53" s="247"/>
      <c r="F53" s="247"/>
      <c r="G53" s="57" t="s">
        <v>38</v>
      </c>
      <c r="H53" s="47">
        <f>'Input (1)'!H48</f>
        <v>78.5</v>
      </c>
      <c r="I53" s="259" t="s">
        <v>32</v>
      </c>
      <c r="J53" s="42"/>
      <c r="K53" s="42"/>
    </row>
    <row r="54" spans="1:11" ht="18.75" customHeight="1" x14ac:dyDescent="0.25">
      <c r="A54" s="132"/>
      <c r="B54" s="42"/>
      <c r="C54" s="42"/>
      <c r="D54" s="42"/>
      <c r="E54" s="42"/>
      <c r="F54" s="42"/>
      <c r="G54" s="42"/>
      <c r="H54" s="42"/>
      <c r="I54" s="32"/>
      <c r="J54" s="42"/>
      <c r="K54" s="42"/>
    </row>
    <row r="55" spans="1:11" ht="18.75" customHeight="1" x14ac:dyDescent="0.25">
      <c r="A55" s="132" t="s">
        <v>578</v>
      </c>
      <c r="B55" s="521" t="s">
        <v>579</v>
      </c>
      <c r="C55" s="42"/>
      <c r="D55" s="42"/>
      <c r="E55" s="42"/>
      <c r="F55" s="42"/>
      <c r="G55" s="42"/>
      <c r="H55" s="30"/>
      <c r="I55" s="32"/>
      <c r="J55" s="42"/>
      <c r="K55" s="42"/>
    </row>
    <row r="56" spans="1:11" ht="18.75" customHeight="1" x14ac:dyDescent="0.25">
      <c r="A56" s="132"/>
      <c r="B56" s="523" t="s">
        <v>67</v>
      </c>
      <c r="C56" s="335"/>
      <c r="D56" s="335"/>
      <c r="E56" s="335"/>
      <c r="F56" s="335"/>
      <c r="G56" s="335"/>
      <c r="H56" s="336"/>
      <c r="I56" s="507"/>
      <c r="J56" s="42"/>
      <c r="K56" s="42"/>
    </row>
    <row r="57" spans="1:11" ht="18.75" customHeight="1" x14ac:dyDescent="0.25">
      <c r="A57" s="132"/>
      <c r="B57" s="335" t="s">
        <v>68</v>
      </c>
      <c r="C57" s="335"/>
      <c r="D57" s="336" t="s">
        <v>70</v>
      </c>
      <c r="E57" s="565" t="str">
        <f>'Input (1)'!E53</f>
        <v>Uncoated 7 wire super strands ASTM A-416 grade 270</v>
      </c>
      <c r="F57" s="488"/>
      <c r="G57" s="488"/>
      <c r="H57" s="489"/>
      <c r="I57" s="535"/>
      <c r="J57" s="42"/>
      <c r="K57" s="42"/>
    </row>
    <row r="58" spans="1:11" ht="18.75" customHeight="1" x14ac:dyDescent="0.25">
      <c r="A58" s="132"/>
      <c r="B58" s="335" t="s">
        <v>586</v>
      </c>
      <c r="C58" s="335"/>
      <c r="D58" s="335"/>
      <c r="E58" s="335"/>
      <c r="F58" s="335"/>
      <c r="G58" s="336" t="s">
        <v>580</v>
      </c>
      <c r="H58" s="14">
        <f>'Input (1)'!H54</f>
        <v>1580</v>
      </c>
      <c r="I58" s="507" t="s">
        <v>28</v>
      </c>
      <c r="J58" s="42"/>
      <c r="K58" s="42"/>
    </row>
    <row r="59" spans="1:11" ht="18.75" customHeight="1" x14ac:dyDescent="0.25">
      <c r="A59" s="132"/>
      <c r="B59" s="335" t="s">
        <v>587</v>
      </c>
      <c r="C59" s="335"/>
      <c r="D59" s="335"/>
      <c r="E59" s="335"/>
      <c r="F59" s="335"/>
      <c r="G59" s="336" t="s">
        <v>581</v>
      </c>
      <c r="H59" s="14">
        <f>'Input (1)'!H55</f>
        <v>1860</v>
      </c>
      <c r="I59" s="507" t="s">
        <v>28</v>
      </c>
      <c r="J59" s="42"/>
      <c r="K59" s="42"/>
    </row>
    <row r="60" spans="1:11" ht="18.75" customHeight="1" x14ac:dyDescent="0.25">
      <c r="A60" s="132"/>
      <c r="B60" s="335" t="s">
        <v>588</v>
      </c>
      <c r="C60" s="335"/>
      <c r="D60" s="335"/>
      <c r="E60" s="335"/>
      <c r="F60" s="335"/>
      <c r="G60" s="336"/>
      <c r="H60" s="14">
        <f>'Input (1)'!H56</f>
        <v>12.7</v>
      </c>
      <c r="I60" s="507" t="s">
        <v>5</v>
      </c>
      <c r="J60" s="42"/>
      <c r="K60" s="42"/>
    </row>
    <row r="61" spans="1:11" ht="18.75" customHeight="1" x14ac:dyDescent="0.25">
      <c r="A61" s="132"/>
      <c r="B61" s="335" t="s">
        <v>263</v>
      </c>
      <c r="C61" s="335"/>
      <c r="D61" s="335"/>
      <c r="E61" s="335"/>
      <c r="F61" s="335"/>
      <c r="G61" s="336" t="s">
        <v>582</v>
      </c>
      <c r="H61" s="14">
        <f>'Input (1)'!H57</f>
        <v>98.7</v>
      </c>
      <c r="I61" s="507" t="s">
        <v>584</v>
      </c>
      <c r="J61" s="42"/>
      <c r="K61" s="42"/>
    </row>
    <row r="62" spans="1:11" ht="18.75" customHeight="1" x14ac:dyDescent="0.25">
      <c r="A62" s="132"/>
      <c r="B62" s="335" t="s">
        <v>589</v>
      </c>
      <c r="C62" s="335"/>
      <c r="D62" s="335"/>
      <c r="E62" s="335"/>
      <c r="F62" s="335"/>
      <c r="G62" s="336" t="s">
        <v>556</v>
      </c>
      <c r="H62" s="14">
        <f>'Input (1)'!H58</f>
        <v>183.58199999999999</v>
      </c>
      <c r="I62" s="507" t="s">
        <v>40</v>
      </c>
      <c r="J62" s="42"/>
      <c r="K62" s="42"/>
    </row>
    <row r="63" spans="1:11" ht="18.75" customHeight="1" x14ac:dyDescent="0.25">
      <c r="A63" s="132"/>
      <c r="B63" s="335" t="s">
        <v>590</v>
      </c>
      <c r="C63" s="335"/>
      <c r="D63" s="335"/>
      <c r="E63" s="335"/>
      <c r="F63" s="335"/>
      <c r="G63" s="336" t="s">
        <v>583</v>
      </c>
      <c r="H63" s="490">
        <f>'Input (1)'!H59</f>
        <v>193000</v>
      </c>
      <c r="I63" s="507" t="s">
        <v>28</v>
      </c>
      <c r="J63" s="42"/>
      <c r="K63" s="42"/>
    </row>
    <row r="64" spans="1:11" ht="18.75" customHeight="1" x14ac:dyDescent="0.25">
      <c r="A64" s="132"/>
      <c r="B64" s="42" t="s">
        <v>949</v>
      </c>
      <c r="C64" s="42"/>
      <c r="D64" s="42"/>
      <c r="E64" s="42"/>
      <c r="F64" s="671" t="str">
        <f>'Input (1)'!G60</f>
        <v>Dengan Lekatan (Bounded)</v>
      </c>
      <c r="G64" s="672"/>
      <c r="H64" s="672"/>
      <c r="I64" s="673"/>
      <c r="J64" s="42"/>
      <c r="K64" s="42"/>
    </row>
    <row r="65" spans="1:11" ht="18.75" customHeight="1" x14ac:dyDescent="0.25">
      <c r="A65" s="328"/>
      <c r="J65" s="42"/>
      <c r="K65" s="42"/>
    </row>
    <row r="66" spans="1:11" ht="18.75" customHeight="1" x14ac:dyDescent="0.25">
      <c r="A66" s="328"/>
      <c r="J66" s="42"/>
      <c r="K66" s="42"/>
    </row>
    <row r="67" spans="1:11" ht="18.75" customHeight="1" x14ac:dyDescent="0.25">
      <c r="A67" s="328"/>
      <c r="J67" s="42"/>
      <c r="K67" s="42"/>
    </row>
    <row r="68" spans="1:11" ht="18.75" customHeight="1" x14ac:dyDescent="0.25">
      <c r="A68" s="328"/>
      <c r="J68" s="42"/>
      <c r="K68" s="42"/>
    </row>
    <row r="69" spans="1:11" ht="18.75" customHeight="1" x14ac:dyDescent="0.25">
      <c r="A69" s="328"/>
      <c r="J69" s="42"/>
      <c r="K69" s="42"/>
    </row>
    <row r="70" spans="1:11" ht="18.75" customHeight="1" x14ac:dyDescent="0.25">
      <c r="A70" s="328"/>
      <c r="J70" s="42"/>
      <c r="K70" s="42"/>
    </row>
    <row r="71" spans="1:11" ht="18.75" customHeight="1" x14ac:dyDescent="0.25">
      <c r="A71" s="328"/>
      <c r="J71" s="42"/>
      <c r="K71" s="42"/>
    </row>
    <row r="72" spans="1:11" ht="18.75" customHeight="1" x14ac:dyDescent="0.25">
      <c r="A72" s="328"/>
      <c r="J72" s="42"/>
      <c r="K72" s="42"/>
    </row>
    <row r="73" spans="1:11" ht="18.75" customHeight="1" x14ac:dyDescent="0.25">
      <c r="A73" s="328"/>
      <c r="J73" s="42"/>
      <c r="K73" s="42"/>
    </row>
    <row r="74" spans="1:11" ht="18.75" customHeight="1" x14ac:dyDescent="0.25">
      <c r="A74" s="132" t="s">
        <v>593</v>
      </c>
      <c r="B74" s="521" t="s">
        <v>592</v>
      </c>
      <c r="C74" s="42"/>
      <c r="D74" s="42"/>
      <c r="E74" s="42"/>
      <c r="F74" s="42"/>
      <c r="G74" s="42"/>
      <c r="H74" s="42"/>
      <c r="I74" s="32"/>
      <c r="J74" s="42"/>
      <c r="K74" s="42"/>
    </row>
    <row r="75" spans="1:11" ht="18.75" customHeight="1" x14ac:dyDescent="0.25">
      <c r="A75" s="132"/>
      <c r="B75" s="521"/>
      <c r="C75" s="42"/>
      <c r="D75" s="42"/>
      <c r="E75" s="42"/>
      <c r="F75" s="42"/>
      <c r="G75" s="42"/>
      <c r="H75" s="42"/>
      <c r="I75" s="32"/>
      <c r="J75" s="42"/>
      <c r="K75" s="42"/>
    </row>
    <row r="76" spans="1:11" ht="18.75" customHeight="1" x14ac:dyDescent="0.25">
      <c r="A76" s="132"/>
      <c r="B76" s="521"/>
      <c r="C76" s="42"/>
      <c r="D76" s="42"/>
      <c r="E76" s="42"/>
      <c r="F76" s="42"/>
      <c r="G76" s="42"/>
      <c r="H76" s="42"/>
      <c r="I76" s="32"/>
      <c r="J76" s="42"/>
      <c r="K76" s="42"/>
    </row>
    <row r="77" spans="1:11" ht="18.75" customHeight="1" x14ac:dyDescent="0.25">
      <c r="A77" s="132"/>
      <c r="B77" s="521"/>
      <c r="C77" s="42"/>
      <c r="D77" s="42"/>
      <c r="E77" s="42"/>
      <c r="F77" s="42"/>
      <c r="G77" s="42"/>
      <c r="H77" s="42"/>
      <c r="I77" s="32"/>
      <c r="J77" s="42"/>
      <c r="K77" s="42"/>
    </row>
    <row r="78" spans="1:11" ht="18.75" customHeight="1" x14ac:dyDescent="0.25">
      <c r="A78" s="132"/>
      <c r="B78" s="521"/>
      <c r="C78" s="42"/>
      <c r="D78" s="42"/>
      <c r="E78" s="42"/>
      <c r="F78" s="42"/>
      <c r="G78" s="42"/>
      <c r="H78" s="42"/>
      <c r="I78" s="32"/>
      <c r="J78" s="42"/>
      <c r="K78" s="42"/>
    </row>
    <row r="79" spans="1:11" ht="18.75" customHeight="1" x14ac:dyDescent="0.25">
      <c r="A79" s="132"/>
      <c r="B79" s="521"/>
      <c r="C79" s="42"/>
      <c r="D79" s="42"/>
      <c r="E79" s="42"/>
      <c r="F79" s="42"/>
      <c r="G79" s="42"/>
      <c r="H79" s="42"/>
      <c r="I79" s="32"/>
      <c r="J79" s="42"/>
      <c r="K79" s="42"/>
    </row>
    <row r="80" spans="1:11" ht="18.75" customHeight="1" x14ac:dyDescent="0.25">
      <c r="A80" s="132"/>
      <c r="B80" s="521"/>
      <c r="C80" s="42"/>
      <c r="D80" s="42"/>
      <c r="E80" s="42"/>
      <c r="F80" s="42"/>
      <c r="G80" s="42"/>
      <c r="H80" s="42"/>
      <c r="I80" s="32"/>
      <c r="J80" s="42"/>
      <c r="K80" s="42"/>
    </row>
    <row r="81" spans="1:11" ht="18.75" customHeight="1" x14ac:dyDescent="0.25">
      <c r="A81" s="132"/>
      <c r="B81" s="521"/>
      <c r="C81" s="42"/>
      <c r="D81" s="42"/>
      <c r="E81" s="42"/>
      <c r="F81" s="42"/>
      <c r="G81" s="42"/>
      <c r="H81" s="42"/>
      <c r="I81" s="32"/>
      <c r="J81" s="42"/>
      <c r="K81" s="42"/>
    </row>
    <row r="82" spans="1:11" ht="18.75" customHeight="1" x14ac:dyDescent="0.25">
      <c r="A82" s="132"/>
      <c r="B82" s="521"/>
      <c r="C82" s="42"/>
      <c r="D82" s="42"/>
      <c r="E82" s="42"/>
      <c r="F82" s="42"/>
      <c r="G82" s="42"/>
      <c r="H82" s="42"/>
      <c r="I82" s="32"/>
      <c r="J82" s="42"/>
      <c r="K82" s="42"/>
    </row>
    <row r="83" spans="1:11" ht="18.75" customHeight="1" x14ac:dyDescent="0.25">
      <c r="A83" s="132"/>
      <c r="B83" s="521"/>
      <c r="C83" s="42"/>
      <c r="D83" s="42"/>
      <c r="E83" s="42"/>
      <c r="F83" s="42"/>
      <c r="G83" s="42"/>
      <c r="H83" s="42"/>
      <c r="I83" s="32"/>
      <c r="J83" s="42"/>
      <c r="K83" s="42"/>
    </row>
    <row r="84" spans="1:11" ht="18.75" customHeight="1" x14ac:dyDescent="0.25">
      <c r="A84" s="132"/>
      <c r="B84" s="335" t="s">
        <v>585</v>
      </c>
      <c r="C84" s="42"/>
      <c r="D84" s="42"/>
      <c r="E84" s="42"/>
      <c r="F84" s="42"/>
      <c r="G84" s="674" t="str">
        <f>'Input (1)'!G71</f>
        <v>PC I H-210</v>
      </c>
      <c r="H84" s="675"/>
      <c r="I84" s="32"/>
      <c r="J84" s="42"/>
      <c r="K84" s="42"/>
    </row>
    <row r="85" spans="1:11" ht="18.75" customHeight="1" x14ac:dyDescent="0.25">
      <c r="A85" s="132"/>
      <c r="B85" s="42" t="s">
        <v>591</v>
      </c>
      <c r="C85" s="42"/>
      <c r="D85" s="42"/>
      <c r="E85" s="42"/>
      <c r="F85" s="42"/>
      <c r="G85" s="30" t="s">
        <v>132</v>
      </c>
      <c r="H85" s="536">
        <f>'Input (1)'!H72</f>
        <v>4</v>
      </c>
      <c r="I85" s="32" t="s">
        <v>157</v>
      </c>
      <c r="J85" s="42"/>
      <c r="K85" s="42"/>
    </row>
    <row r="86" spans="1:11" ht="18.75" customHeight="1" x14ac:dyDescent="0.25">
      <c r="A86" s="132"/>
      <c r="B86" s="247" t="s">
        <v>192</v>
      </c>
      <c r="C86" s="247"/>
      <c r="D86" s="247"/>
      <c r="E86" s="247"/>
      <c r="F86" s="247"/>
      <c r="G86" s="57" t="s">
        <v>148</v>
      </c>
      <c r="H86" s="14">
        <f>'Input (1)'!H73</f>
        <v>0.2</v>
      </c>
      <c r="I86" s="259" t="s">
        <v>2</v>
      </c>
      <c r="J86" s="42"/>
      <c r="K86" s="42"/>
    </row>
    <row r="87" spans="1:11" ht="18.75" customHeight="1" x14ac:dyDescent="0.25">
      <c r="A87" s="132"/>
      <c r="B87" s="247" t="s">
        <v>594</v>
      </c>
      <c r="C87" s="42"/>
      <c r="D87" s="42"/>
      <c r="E87" s="42"/>
      <c r="F87" s="42"/>
      <c r="G87" s="57" t="s">
        <v>186</v>
      </c>
      <c r="H87" s="14">
        <f>'Input (1)'!H74</f>
        <v>0.16</v>
      </c>
      <c r="I87" s="32" t="s">
        <v>2</v>
      </c>
      <c r="J87" s="42"/>
      <c r="K87" s="42"/>
    </row>
    <row r="88" spans="1:11" ht="18.75" customHeight="1" x14ac:dyDescent="0.25">
      <c r="A88" s="132"/>
      <c r="B88" s="247" t="s">
        <v>595</v>
      </c>
      <c r="C88" s="42"/>
      <c r="D88" s="42"/>
      <c r="E88" s="42"/>
      <c r="F88" s="42"/>
      <c r="G88" s="57" t="s">
        <v>203</v>
      </c>
      <c r="H88" s="14">
        <f>'Input (1)'!H75</f>
        <v>0.45</v>
      </c>
      <c r="I88" s="32" t="s">
        <v>2</v>
      </c>
      <c r="J88" s="42"/>
      <c r="K88" s="42"/>
    </row>
    <row r="89" spans="1:11" ht="18.75" customHeight="1" x14ac:dyDescent="0.25">
      <c r="A89" s="132"/>
      <c r="B89" s="42"/>
      <c r="C89" s="42"/>
      <c r="D89" s="42"/>
      <c r="E89" s="42"/>
      <c r="F89" s="42"/>
      <c r="G89" s="42"/>
      <c r="H89" s="42"/>
      <c r="I89" s="32"/>
      <c r="J89" s="42"/>
      <c r="K89" s="42"/>
    </row>
    <row r="90" spans="1:11" ht="18.75" customHeight="1" x14ac:dyDescent="0.25">
      <c r="A90" s="132"/>
      <c r="B90" s="42"/>
      <c r="C90" s="42"/>
      <c r="D90" s="42"/>
      <c r="E90" s="42"/>
      <c r="F90" s="42"/>
      <c r="G90" s="42"/>
      <c r="H90" s="42"/>
      <c r="I90" s="32"/>
      <c r="J90" s="42"/>
      <c r="K90" s="42"/>
    </row>
    <row r="91" spans="1:11" ht="18.75" customHeight="1" x14ac:dyDescent="0.25">
      <c r="A91" s="132"/>
      <c r="B91" s="42"/>
      <c r="C91" s="42"/>
      <c r="D91" s="42"/>
      <c r="E91" s="42"/>
      <c r="F91" s="42"/>
      <c r="G91" s="42"/>
      <c r="H91" s="42"/>
      <c r="I91" s="32"/>
      <c r="J91" s="42"/>
      <c r="K91" s="42"/>
    </row>
    <row r="92" spans="1:11" ht="18.75" customHeight="1" x14ac:dyDescent="0.25">
      <c r="A92" s="132"/>
      <c r="B92" s="42"/>
      <c r="C92" s="42"/>
      <c r="D92" s="42"/>
      <c r="E92" s="42"/>
      <c r="F92" s="42"/>
      <c r="G92" s="42"/>
      <c r="H92" s="42"/>
      <c r="I92" s="32"/>
      <c r="J92" s="42"/>
      <c r="K92" s="42"/>
    </row>
    <row r="93" spans="1:11" ht="18.75" customHeight="1" x14ac:dyDescent="0.25">
      <c r="A93" s="132"/>
      <c r="B93" s="42"/>
      <c r="C93" s="42"/>
      <c r="D93" s="42"/>
      <c r="E93" s="42"/>
      <c r="F93" s="42"/>
      <c r="G93" s="42"/>
      <c r="H93" s="42"/>
      <c r="I93" s="32"/>
      <c r="J93" s="42"/>
      <c r="K93" s="42"/>
    </row>
    <row r="94" spans="1:11" ht="18.75" customHeight="1" x14ac:dyDescent="0.25">
      <c r="A94" s="132"/>
      <c r="B94" s="42"/>
      <c r="C94" s="42"/>
      <c r="D94" s="42"/>
      <c r="E94" s="42"/>
      <c r="F94" s="42"/>
      <c r="G94" s="42"/>
      <c r="H94" s="42"/>
      <c r="I94" s="32"/>
      <c r="J94" s="42"/>
      <c r="K94" s="42"/>
    </row>
    <row r="95" spans="1:11" ht="18.75" customHeight="1" x14ac:dyDescent="0.25">
      <c r="A95" s="132"/>
      <c r="B95" s="42"/>
      <c r="C95" s="42"/>
      <c r="D95" s="42"/>
      <c r="E95" s="42"/>
      <c r="F95" s="42"/>
      <c r="G95" s="42"/>
      <c r="H95" s="42"/>
      <c r="I95" s="32"/>
      <c r="J95" s="42"/>
      <c r="K95" s="42"/>
    </row>
    <row r="96" spans="1:11" ht="18.75" customHeight="1" x14ac:dyDescent="0.25">
      <c r="A96" s="132"/>
      <c r="B96" s="42"/>
      <c r="C96" s="42"/>
      <c r="D96" s="42"/>
      <c r="E96" s="42"/>
      <c r="F96" s="42"/>
      <c r="G96" s="42"/>
      <c r="H96" s="42"/>
      <c r="I96" s="32"/>
      <c r="J96" s="42"/>
      <c r="K96" s="42"/>
    </row>
    <row r="97" spans="1:11" ht="18.75" customHeight="1" x14ac:dyDescent="0.25">
      <c r="A97" s="132"/>
      <c r="B97" s="42"/>
      <c r="C97" s="42"/>
      <c r="D97" s="42"/>
      <c r="E97" s="42"/>
      <c r="F97" s="42"/>
      <c r="G97" s="42"/>
      <c r="H97" s="42"/>
      <c r="I97" s="32"/>
      <c r="J97" s="42"/>
      <c r="K97" s="42"/>
    </row>
    <row r="98" spans="1:11" ht="18.75" customHeight="1" x14ac:dyDescent="0.25">
      <c r="A98" s="132" t="s">
        <v>822</v>
      </c>
      <c r="B98" s="521" t="s">
        <v>823</v>
      </c>
      <c r="C98" s="42"/>
      <c r="D98" s="42"/>
      <c r="E98" s="42"/>
      <c r="F98" s="42"/>
      <c r="G98" s="42"/>
      <c r="H98" s="42"/>
      <c r="I98" s="32"/>
      <c r="J98" s="42"/>
      <c r="K98" s="42"/>
    </row>
    <row r="99" spans="1:11" ht="18.75" customHeight="1" x14ac:dyDescent="0.25">
      <c r="A99" s="132"/>
      <c r="B99" s="247" t="s">
        <v>843</v>
      </c>
      <c r="C99" s="247"/>
      <c r="D99" s="247"/>
      <c r="E99" s="247"/>
      <c r="F99" s="247"/>
      <c r="G99" s="57" t="s">
        <v>824</v>
      </c>
      <c r="H99" s="15">
        <f>'Input (1)'!H79</f>
        <v>6956.1580000000004</v>
      </c>
      <c r="I99" s="259" t="s">
        <v>42</v>
      </c>
      <c r="J99" s="42"/>
      <c r="K99" s="42"/>
    </row>
    <row r="100" spans="1:11" ht="18.75" customHeight="1" x14ac:dyDescent="0.25">
      <c r="A100" s="132"/>
      <c r="B100" s="247" t="s">
        <v>819</v>
      </c>
      <c r="C100" s="42"/>
      <c r="D100" s="42"/>
      <c r="E100" s="42"/>
      <c r="F100" s="42"/>
      <c r="G100" s="57" t="s">
        <v>825</v>
      </c>
      <c r="H100" s="15">
        <f>'Input (1)'!H80</f>
        <v>6795.5744000000004</v>
      </c>
      <c r="I100" s="259" t="s">
        <v>42</v>
      </c>
      <c r="J100" s="42"/>
      <c r="K100" s="42"/>
    </row>
    <row r="101" spans="1:11" ht="18.75" customHeight="1" x14ac:dyDescent="0.25">
      <c r="A101" s="132"/>
      <c r="B101" s="247" t="s">
        <v>821</v>
      </c>
      <c r="C101" s="42"/>
      <c r="D101" s="42"/>
      <c r="E101" s="42"/>
      <c r="F101" s="42"/>
      <c r="G101" s="57" t="s">
        <v>826</v>
      </c>
      <c r="H101" s="15">
        <f>'Input (1)'!H81</f>
        <v>6336.7824000000001</v>
      </c>
      <c r="I101" s="259" t="s">
        <v>42</v>
      </c>
      <c r="J101" s="42"/>
      <c r="K101" s="42"/>
    </row>
    <row r="102" spans="1:11" ht="18.75" customHeight="1" x14ac:dyDescent="0.25">
      <c r="A102" s="13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8.75" customHeight="1" x14ac:dyDescent="0.25">
      <c r="A103" s="132"/>
      <c r="B103" s="247" t="s">
        <v>846</v>
      </c>
      <c r="C103" s="42"/>
      <c r="D103" s="42"/>
      <c r="E103" s="42"/>
      <c r="F103" s="42"/>
      <c r="G103" s="57" t="s">
        <v>842</v>
      </c>
      <c r="H103" s="15">
        <f>'Input (1)'!H83</f>
        <v>10242.529500000001</v>
      </c>
      <c r="I103" s="259" t="s">
        <v>42</v>
      </c>
      <c r="J103" s="42"/>
      <c r="K103" s="42"/>
    </row>
    <row r="104" spans="1:11" ht="18.75" customHeight="1" x14ac:dyDescent="0.25">
      <c r="A104" s="132"/>
      <c r="B104" s="42"/>
      <c r="C104" s="42"/>
      <c r="D104" s="42"/>
      <c r="E104" s="42"/>
      <c r="F104" s="42"/>
      <c r="G104" s="42"/>
      <c r="H104" s="42"/>
      <c r="I104" s="32"/>
      <c r="J104" s="42"/>
      <c r="K104" s="42"/>
    </row>
    <row r="105" spans="1:11" ht="18.75" customHeight="1" x14ac:dyDescent="0.25">
      <c r="A105" s="132" t="s">
        <v>884</v>
      </c>
      <c r="B105" s="521" t="s">
        <v>885</v>
      </c>
      <c r="C105" s="42"/>
      <c r="D105" s="42"/>
      <c r="E105" s="42"/>
      <c r="F105" s="42"/>
      <c r="G105" s="42"/>
      <c r="H105" s="42"/>
      <c r="I105" s="32"/>
      <c r="J105" s="42"/>
      <c r="K105" s="42"/>
    </row>
    <row r="106" spans="1:11" ht="18.75" customHeight="1" x14ac:dyDescent="0.25">
      <c r="A106" s="132"/>
      <c r="B106" s="42" t="s">
        <v>760</v>
      </c>
      <c r="C106" s="42"/>
      <c r="D106" s="42"/>
      <c r="E106" s="42"/>
      <c r="F106" s="42"/>
      <c r="G106" s="30" t="s">
        <v>761</v>
      </c>
      <c r="H106" s="493">
        <f>'Input (1)'!H86</f>
        <v>19.3</v>
      </c>
      <c r="I106" s="32" t="s">
        <v>762</v>
      </c>
      <c r="J106" s="42"/>
      <c r="K106" s="42"/>
    </row>
    <row r="107" spans="1:11" ht="18.75" customHeight="1" x14ac:dyDescent="0.25">
      <c r="A107" s="132"/>
      <c r="B107" s="42" t="s">
        <v>763</v>
      </c>
      <c r="C107" s="42"/>
      <c r="D107" s="42"/>
      <c r="E107" s="42"/>
      <c r="F107" s="42"/>
      <c r="G107" s="30" t="s">
        <v>764</v>
      </c>
      <c r="H107" s="493">
        <f>'Input (1)'!H87</f>
        <v>126</v>
      </c>
      <c r="I107" s="32" t="s">
        <v>762</v>
      </c>
      <c r="J107" s="42"/>
      <c r="K107" s="42"/>
    </row>
    <row r="108" spans="1:11" ht="18.75" customHeight="1" x14ac:dyDescent="0.25">
      <c r="A108" s="132"/>
      <c r="B108" s="42" t="s">
        <v>765</v>
      </c>
      <c r="C108" s="42"/>
      <c r="D108" s="42"/>
      <c r="E108" s="42"/>
      <c r="F108" s="42"/>
      <c r="G108" s="30" t="s">
        <v>766</v>
      </c>
      <c r="H108" s="493">
        <f>'Input (1)'!H88</f>
        <v>90</v>
      </c>
      <c r="I108" s="32" t="s">
        <v>762</v>
      </c>
      <c r="J108" s="42"/>
      <c r="K108" s="42"/>
    </row>
    <row r="109" spans="1:11" ht="18.75" customHeight="1" x14ac:dyDescent="0.25">
      <c r="A109" s="132"/>
      <c r="B109" s="42" t="s">
        <v>767</v>
      </c>
      <c r="C109" s="42"/>
      <c r="D109" s="42"/>
      <c r="E109" s="42"/>
      <c r="F109" s="42"/>
      <c r="G109" s="30" t="s">
        <v>768</v>
      </c>
      <c r="H109" s="493">
        <f>'Input (1)'!H89</f>
        <v>2500</v>
      </c>
      <c r="I109" s="32" t="s">
        <v>5</v>
      </c>
      <c r="J109" s="42"/>
      <c r="K109" s="42"/>
    </row>
    <row r="110" spans="1:11" ht="18.75" customHeight="1" x14ac:dyDescent="0.25">
      <c r="A110" s="132"/>
      <c r="B110" s="42" t="s">
        <v>771</v>
      </c>
      <c r="C110" s="42"/>
      <c r="D110" s="42"/>
      <c r="E110" s="42"/>
      <c r="F110" s="42"/>
      <c r="G110" s="30" t="s">
        <v>772</v>
      </c>
      <c r="H110" s="493">
        <f>'Input (1)'!H90</f>
        <v>2.3999999999999998E-3</v>
      </c>
      <c r="I110" s="32" t="s">
        <v>773</v>
      </c>
      <c r="J110" s="42"/>
      <c r="K110" s="42"/>
    </row>
    <row r="111" spans="1:11" ht="18.75" customHeight="1" x14ac:dyDescent="0.25">
      <c r="A111" s="132" t="s">
        <v>953</v>
      </c>
      <c r="B111" s="328" t="s">
        <v>1027</v>
      </c>
      <c r="C111" s="42"/>
      <c r="D111" s="42"/>
      <c r="E111" s="42"/>
      <c r="F111" s="42"/>
      <c r="G111" s="42"/>
      <c r="H111" s="30"/>
      <c r="I111" s="237"/>
      <c r="J111" s="42"/>
      <c r="K111" s="42"/>
    </row>
    <row r="112" spans="1:11" ht="37.5" customHeight="1" x14ac:dyDescent="0.25">
      <c r="A112" s="132"/>
      <c r="B112" s="595" t="s">
        <v>1028</v>
      </c>
      <c r="C112" s="595"/>
      <c r="D112" s="595"/>
      <c r="E112" s="595"/>
      <c r="F112" s="595"/>
      <c r="G112" s="30" t="s">
        <v>1029</v>
      </c>
      <c r="H112" s="537">
        <f>'Input (1)'!H93</f>
        <v>0.3</v>
      </c>
      <c r="I112" s="32" t="s">
        <v>1030</v>
      </c>
      <c r="J112" s="42"/>
      <c r="K112" s="42"/>
    </row>
    <row r="113" spans="1:11" ht="37.5" customHeight="1" x14ac:dyDescent="0.25">
      <c r="A113" s="132"/>
      <c r="B113" s="595" t="s">
        <v>1031</v>
      </c>
      <c r="C113" s="595"/>
      <c r="D113" s="595"/>
      <c r="E113" s="595"/>
      <c r="F113" s="595"/>
      <c r="G113" s="30" t="s">
        <v>1032</v>
      </c>
      <c r="H113" s="537">
        <f>'Input (1)'!H94</f>
        <v>0.6</v>
      </c>
      <c r="I113" s="32" t="s">
        <v>1030</v>
      </c>
      <c r="J113" s="42"/>
      <c r="K113" s="42"/>
    </row>
    <row r="114" spans="1:11" ht="37.5" customHeight="1" x14ac:dyDescent="0.25">
      <c r="A114" s="132"/>
      <c r="B114" s="595" t="s">
        <v>1033</v>
      </c>
      <c r="C114" s="595"/>
      <c r="D114" s="595"/>
      <c r="E114" s="595"/>
      <c r="F114" s="595"/>
      <c r="G114" s="30" t="s">
        <v>1034</v>
      </c>
      <c r="H114" s="537">
        <f>'Input (1)'!H95</f>
        <v>0.25</v>
      </c>
      <c r="I114" s="32" t="s">
        <v>1030</v>
      </c>
      <c r="J114" s="42"/>
      <c r="K114" s="42"/>
    </row>
    <row r="115" spans="1:11" ht="18.75" customHeight="1" x14ac:dyDescent="0.25">
      <c r="A115" s="132"/>
      <c r="B115" s="42"/>
      <c r="C115" s="42"/>
      <c r="D115" s="42"/>
      <c r="E115" s="42"/>
      <c r="F115" s="42"/>
      <c r="G115" s="42"/>
      <c r="H115" s="42"/>
      <c r="I115" s="32"/>
      <c r="J115" s="42"/>
      <c r="K115" s="42"/>
    </row>
    <row r="116" spans="1:11" ht="18.75" customHeight="1" x14ac:dyDescent="0.25">
      <c r="A116" s="132" t="s">
        <v>1242</v>
      </c>
      <c r="B116" s="87" t="s">
        <v>603</v>
      </c>
      <c r="J116" s="42"/>
      <c r="K116" s="42"/>
    </row>
    <row r="117" spans="1:11" ht="18.75" customHeight="1" x14ac:dyDescent="0.25">
      <c r="A117" s="42"/>
      <c r="B117" s="603" t="s">
        <v>604</v>
      </c>
      <c r="C117" s="603" t="s">
        <v>605</v>
      </c>
      <c r="D117" s="597" t="s">
        <v>221</v>
      </c>
      <c r="E117" s="597" t="s">
        <v>620</v>
      </c>
      <c r="F117" s="601" t="s">
        <v>616</v>
      </c>
      <c r="G117" s="601"/>
      <c r="H117" s="597" t="s">
        <v>628</v>
      </c>
      <c r="J117" s="42"/>
      <c r="K117" s="42"/>
    </row>
    <row r="118" spans="1:11" ht="18.75" customHeight="1" x14ac:dyDescent="0.25">
      <c r="A118" s="42"/>
      <c r="B118" s="604"/>
      <c r="C118" s="604"/>
      <c r="D118" s="598"/>
      <c r="E118" s="598"/>
      <c r="F118" s="464" t="s">
        <v>617</v>
      </c>
      <c r="G118" s="464" t="s">
        <v>618</v>
      </c>
      <c r="H118" s="598"/>
      <c r="J118" s="42"/>
      <c r="K118" s="42"/>
    </row>
    <row r="119" spans="1:11" ht="18.75" customHeight="1" x14ac:dyDescent="0.25">
      <c r="A119" s="42"/>
      <c r="B119" s="493">
        <f>'Input (1)'!P74</f>
        <v>1</v>
      </c>
      <c r="C119" s="493" t="str">
        <f>'Input (1)'!Q74</f>
        <v>5-12</v>
      </c>
      <c r="D119" s="493">
        <f>'Input (1)'!R74</f>
        <v>11</v>
      </c>
      <c r="E119" s="493">
        <f>'Input (1)'!S74</f>
        <v>12</v>
      </c>
      <c r="F119" s="493">
        <f>'Input (1)'!T74</f>
        <v>215</v>
      </c>
      <c r="G119" s="493">
        <f>'Input (1)'!U74</f>
        <v>300</v>
      </c>
      <c r="H119" s="493">
        <f>'Input (1)'!V74</f>
        <v>72</v>
      </c>
      <c r="J119" s="42"/>
      <c r="K119" s="42"/>
    </row>
    <row r="120" spans="1:11" ht="18.75" customHeight="1" x14ac:dyDescent="0.25">
      <c r="A120" s="42"/>
      <c r="B120" s="493">
        <f>'Input (1)'!P75</f>
        <v>2</v>
      </c>
      <c r="C120" s="538" t="str">
        <f>'Input (1)'!Q75</f>
        <v>5-19</v>
      </c>
      <c r="D120" s="493">
        <f>'Input (1)'!R75</f>
        <v>19</v>
      </c>
      <c r="E120" s="493">
        <f>'Input (1)'!S75</f>
        <v>19</v>
      </c>
      <c r="F120" s="493">
        <f>'Input (1)'!T75</f>
        <v>265</v>
      </c>
      <c r="G120" s="493">
        <f>'Input (1)'!U75</f>
        <v>375</v>
      </c>
      <c r="H120" s="493">
        <f>'Input (1)'!V75</f>
        <v>87</v>
      </c>
      <c r="J120" s="42"/>
      <c r="K120" s="42"/>
    </row>
    <row r="121" spans="1:11" ht="18.75" customHeight="1" x14ac:dyDescent="0.25">
      <c r="A121" s="42"/>
      <c r="B121" s="14">
        <f>'Input (1)'!P76</f>
        <v>3</v>
      </c>
      <c r="C121" s="301" t="str">
        <f>'Input (1)'!Q76</f>
        <v>5-19</v>
      </c>
      <c r="D121" s="14">
        <f>'Input (1)'!R76</f>
        <v>19</v>
      </c>
      <c r="E121" s="14">
        <f>'Input (1)'!S76</f>
        <v>19</v>
      </c>
      <c r="F121" s="14">
        <f>'Input (1)'!T76</f>
        <v>265</v>
      </c>
      <c r="G121" s="14">
        <f>'Input (1)'!U76</f>
        <v>375</v>
      </c>
      <c r="H121" s="14">
        <f>'Input (1)'!V76</f>
        <v>87</v>
      </c>
      <c r="J121" s="42"/>
      <c r="K121" s="42"/>
    </row>
    <row r="122" spans="1:11" ht="18.75" customHeight="1" x14ac:dyDescent="0.25">
      <c r="A122" s="42"/>
      <c r="B122" s="14">
        <f>'Input (1)'!P77</f>
        <v>4</v>
      </c>
      <c r="C122" s="302" t="str">
        <f>'Input (1)'!Q77</f>
        <v>5-19</v>
      </c>
      <c r="D122" s="14">
        <f>'Input (1)'!R77</f>
        <v>19</v>
      </c>
      <c r="E122" s="14">
        <f>'Input (1)'!S77</f>
        <v>19</v>
      </c>
      <c r="F122" s="14">
        <f>'Input (1)'!T77</f>
        <v>265</v>
      </c>
      <c r="G122" s="14">
        <f>'Input (1)'!U77</f>
        <v>375</v>
      </c>
      <c r="H122" s="14">
        <f>'Input (1)'!V77</f>
        <v>87</v>
      </c>
      <c r="J122" s="42"/>
      <c r="K122" s="42"/>
    </row>
    <row r="123" spans="1:11" ht="18.75" customHeight="1" x14ac:dyDescent="0.25">
      <c r="A123" s="42"/>
      <c r="B123" s="602" t="s">
        <v>619</v>
      </c>
      <c r="C123" s="602"/>
      <c r="D123" s="159">
        <f>'Input (1)'!R78</f>
        <v>68</v>
      </c>
      <c r="E123" s="599"/>
      <c r="F123" s="605"/>
      <c r="G123" s="605"/>
      <c r="H123" s="600"/>
      <c r="J123" s="42"/>
      <c r="K123" s="42"/>
    </row>
    <row r="124" spans="1:11" ht="18.75" customHeight="1" x14ac:dyDescent="0.25">
      <c r="A124" s="328"/>
      <c r="J124" s="42"/>
      <c r="K124" s="42"/>
    </row>
    <row r="125" spans="1:11" ht="18.75" customHeight="1" x14ac:dyDescent="0.25">
      <c r="A125" s="328"/>
      <c r="J125" s="42"/>
      <c r="K125" s="42"/>
    </row>
    <row r="126" spans="1:11" ht="18.75" customHeight="1" x14ac:dyDescent="0.25">
      <c r="A126" s="328"/>
      <c r="J126" s="42"/>
      <c r="K126" s="42"/>
    </row>
    <row r="127" spans="1:11" ht="18.75" customHeight="1" x14ac:dyDescent="0.25">
      <c r="A127" s="328"/>
      <c r="J127" s="42"/>
      <c r="K127" s="42"/>
    </row>
    <row r="128" spans="1:11" ht="18.75" customHeight="1" x14ac:dyDescent="0.25">
      <c r="A128" s="328"/>
      <c r="J128" s="42"/>
      <c r="K128" s="42"/>
    </row>
    <row r="129" spans="1:11" ht="18.75" customHeight="1" x14ac:dyDescent="0.25">
      <c r="A129" s="328"/>
      <c r="J129" s="42"/>
      <c r="K129" s="42"/>
    </row>
    <row r="130" spans="1:11" ht="18.75" customHeight="1" x14ac:dyDescent="0.25">
      <c r="A130" s="328"/>
      <c r="J130" s="42"/>
      <c r="K130" s="42"/>
    </row>
    <row r="131" spans="1:11" ht="18.75" customHeight="1" x14ac:dyDescent="0.25">
      <c r="A131" s="328"/>
      <c r="J131" s="42"/>
      <c r="K131" s="42"/>
    </row>
    <row r="132" spans="1:11" ht="18.75" customHeight="1" x14ac:dyDescent="0.25">
      <c r="A132" s="328"/>
      <c r="J132" s="42"/>
      <c r="K132" s="42"/>
    </row>
    <row r="133" spans="1:11" ht="18.75" customHeight="1" x14ac:dyDescent="0.25">
      <c r="A133" s="328"/>
      <c r="J133" s="42"/>
      <c r="K133" s="42"/>
    </row>
    <row r="134" spans="1:11" ht="18.75" customHeight="1" x14ac:dyDescent="0.25">
      <c r="A134" s="328"/>
      <c r="J134" s="42"/>
      <c r="K134" s="42"/>
    </row>
    <row r="135" spans="1:11" ht="18.75" customHeight="1" x14ac:dyDescent="0.25">
      <c r="A135" s="328"/>
      <c r="J135" s="42"/>
      <c r="K135" s="42"/>
    </row>
    <row r="136" spans="1:11" ht="18.75" customHeight="1" x14ac:dyDescent="0.25">
      <c r="A136" s="328"/>
      <c r="J136" s="42"/>
      <c r="K136" s="42"/>
    </row>
    <row r="137" spans="1:11" ht="18.75" customHeight="1" x14ac:dyDescent="0.25">
      <c r="A137" s="328"/>
      <c r="J137" s="42"/>
      <c r="K137" s="42"/>
    </row>
    <row r="138" spans="1:11" ht="18.75" customHeight="1" x14ac:dyDescent="0.25">
      <c r="A138" s="328"/>
      <c r="J138" s="42"/>
      <c r="K138" s="42"/>
    </row>
    <row r="139" spans="1:11" ht="18.75" customHeight="1" x14ac:dyDescent="0.25">
      <c r="A139" s="328"/>
      <c r="J139" s="42"/>
      <c r="K139" s="42"/>
    </row>
    <row r="140" spans="1:11" ht="18.75" customHeight="1" x14ac:dyDescent="0.25">
      <c r="A140" s="328"/>
      <c r="J140" s="42"/>
      <c r="K140" s="42"/>
    </row>
    <row r="141" spans="1:11" ht="18.75" customHeight="1" x14ac:dyDescent="0.25">
      <c r="A141" s="328"/>
      <c r="J141" s="42"/>
      <c r="K141" s="42"/>
    </row>
    <row r="142" spans="1:11" ht="18.75" customHeight="1" x14ac:dyDescent="0.25">
      <c r="A142" s="328"/>
      <c r="J142" s="42"/>
      <c r="K142" s="42"/>
    </row>
    <row r="143" spans="1:11" ht="18.75" customHeight="1" x14ac:dyDescent="0.25">
      <c r="A143" s="328"/>
      <c r="J143" s="42"/>
      <c r="K143" s="42"/>
    </row>
    <row r="144" spans="1:11" ht="18.75" customHeight="1" x14ac:dyDescent="0.25">
      <c r="A144" s="328"/>
      <c r="J144" s="42"/>
      <c r="K144" s="42"/>
    </row>
    <row r="145" spans="1:9" ht="18.75" customHeight="1" x14ac:dyDescent="0.25">
      <c r="A145" s="481" t="s">
        <v>1279</v>
      </c>
      <c r="B145" s="482" t="s">
        <v>1303</v>
      </c>
      <c r="C145" s="483"/>
      <c r="D145" s="483"/>
      <c r="E145" s="483"/>
      <c r="F145" s="483"/>
      <c r="G145" s="484"/>
      <c r="H145" s="485"/>
      <c r="I145" s="486"/>
    </row>
    <row r="146" spans="1:9" ht="18.75" customHeight="1" x14ac:dyDescent="0.25">
      <c r="A146" s="582" t="s">
        <v>867</v>
      </c>
      <c r="B146" s="583" t="s">
        <v>1278</v>
      </c>
      <c r="C146" s="584"/>
      <c r="D146" s="584"/>
      <c r="E146" s="584"/>
      <c r="F146" s="584"/>
      <c r="G146" s="585"/>
      <c r="H146" s="586"/>
      <c r="I146" s="587"/>
    </row>
    <row r="147" spans="1:9" ht="18.75" customHeight="1" x14ac:dyDescent="0.25">
      <c r="A147" s="1"/>
    </row>
    <row r="148" spans="1:9" ht="18.75" customHeight="1" x14ac:dyDescent="0.25">
      <c r="A148" s="1"/>
    </row>
    <row r="149" spans="1:9" ht="18.75" customHeight="1" x14ac:dyDescent="0.25">
      <c r="A149" s="1"/>
    </row>
    <row r="150" spans="1:9" ht="18.75" customHeight="1" x14ac:dyDescent="0.25">
      <c r="A150" s="1"/>
    </row>
    <row r="151" spans="1:9" ht="18.75" customHeight="1" x14ac:dyDescent="0.25">
      <c r="A151" s="1"/>
    </row>
    <row r="152" spans="1:9" ht="18.75" customHeight="1" x14ac:dyDescent="0.25">
      <c r="A152" s="1"/>
    </row>
    <row r="153" spans="1:9" ht="18.75" customHeight="1" x14ac:dyDescent="0.25">
      <c r="A153" s="1"/>
    </row>
    <row r="154" spans="1:9" ht="18.75" customHeight="1" x14ac:dyDescent="0.25">
      <c r="A154" s="1"/>
    </row>
    <row r="155" spans="1:9" ht="18.75" customHeight="1" x14ac:dyDescent="0.25">
      <c r="A155" s="1"/>
    </row>
    <row r="156" spans="1:9" ht="18.75" customHeight="1" x14ac:dyDescent="0.25">
      <c r="A156" s="1"/>
    </row>
    <row r="157" spans="1:9" ht="18.75" customHeight="1" x14ac:dyDescent="0.25">
      <c r="A157" s="1"/>
      <c r="B157" s="42"/>
      <c r="C157" s="42"/>
      <c r="D157" s="42"/>
      <c r="E157" s="649" t="s">
        <v>44</v>
      </c>
      <c r="F157" s="541" t="s">
        <v>45</v>
      </c>
      <c r="G157" s="651" t="s">
        <v>44</v>
      </c>
      <c r="H157" s="542" t="s">
        <v>47</v>
      </c>
      <c r="I157" s="119"/>
    </row>
    <row r="158" spans="1:9" ht="18.75" customHeight="1" x14ac:dyDescent="0.25">
      <c r="A158" s="1"/>
      <c r="B158" s="42"/>
      <c r="C158" s="42"/>
      <c r="D158" s="42"/>
      <c r="E158" s="650"/>
      <c r="F158" s="511" t="s">
        <v>46</v>
      </c>
      <c r="G158" s="610"/>
      <c r="H158" s="543" t="s">
        <v>46</v>
      </c>
      <c r="I158" s="119"/>
    </row>
    <row r="159" spans="1:9" ht="18.75" customHeight="1" x14ac:dyDescent="0.25">
      <c r="A159" s="1"/>
      <c r="B159" s="42"/>
      <c r="C159" s="42"/>
      <c r="D159" s="42"/>
      <c r="E159" s="544" t="s">
        <v>48</v>
      </c>
      <c r="F159" s="15">
        <f>Output!G14</f>
        <v>0.64</v>
      </c>
      <c r="G159" s="13" t="s">
        <v>54</v>
      </c>
      <c r="H159" s="545">
        <f>Output!I14</f>
        <v>7.0000000000000007E-2</v>
      </c>
      <c r="I159" s="119"/>
    </row>
    <row r="160" spans="1:9" ht="18.75" customHeight="1" x14ac:dyDescent="0.25">
      <c r="A160" s="1"/>
      <c r="B160" s="42"/>
      <c r="C160" s="42"/>
      <c r="D160" s="42"/>
      <c r="E160" s="544" t="s">
        <v>49</v>
      </c>
      <c r="F160" s="15">
        <f>Output!G15</f>
        <v>0.8</v>
      </c>
      <c r="G160" s="13" t="s">
        <v>55</v>
      </c>
      <c r="H160" s="545">
        <f>Output!I15</f>
        <v>0.13</v>
      </c>
      <c r="I160" s="119"/>
    </row>
    <row r="161" spans="1:9" ht="18.75" customHeight="1" x14ac:dyDescent="0.25">
      <c r="A161" s="1"/>
      <c r="B161" s="42"/>
      <c r="C161" s="42"/>
      <c r="D161" s="42"/>
      <c r="E161" s="544" t="s">
        <v>50</v>
      </c>
      <c r="F161" s="15">
        <f>Output!G16</f>
        <v>0.30000000000000004</v>
      </c>
      <c r="G161" s="13" t="s">
        <v>56</v>
      </c>
      <c r="H161" s="545">
        <f>Output!I16</f>
        <v>0.12</v>
      </c>
      <c r="I161" s="119"/>
    </row>
    <row r="162" spans="1:9" ht="18.75" customHeight="1" x14ac:dyDescent="0.25">
      <c r="A162" s="1"/>
      <c r="B162" s="42"/>
      <c r="C162" s="42"/>
      <c r="D162" s="42"/>
      <c r="E162" s="544" t="s">
        <v>51</v>
      </c>
      <c r="F162" s="15">
        <f>Output!G17</f>
        <v>0.2</v>
      </c>
      <c r="G162" s="13" t="s">
        <v>57</v>
      </c>
      <c r="H162" s="545">
        <f>Output!I17</f>
        <v>1.6500000000000001</v>
      </c>
      <c r="I162" s="119"/>
    </row>
    <row r="163" spans="1:9" ht="18.75" customHeight="1" x14ac:dyDescent="0.25">
      <c r="A163" s="1"/>
      <c r="B163" s="42"/>
      <c r="C163" s="42"/>
      <c r="D163" s="42"/>
      <c r="E163" s="544" t="s">
        <v>52</v>
      </c>
      <c r="F163" s="15">
        <f>Output!G18</f>
        <v>0.24999999999999997</v>
      </c>
      <c r="G163" s="13" t="s">
        <v>58</v>
      </c>
      <c r="H163" s="545">
        <f>Output!I18</f>
        <v>0.25</v>
      </c>
      <c r="I163" s="119"/>
    </row>
    <row r="164" spans="1:9" ht="18.75" customHeight="1" x14ac:dyDescent="0.25">
      <c r="A164" s="1"/>
      <c r="B164" s="42"/>
      <c r="C164" s="42"/>
      <c r="D164" s="42"/>
      <c r="E164" s="546" t="s">
        <v>53</v>
      </c>
      <c r="F164" s="547">
        <f>Output!G19</f>
        <v>0.7</v>
      </c>
      <c r="G164" s="548" t="s">
        <v>59</v>
      </c>
      <c r="H164" s="549">
        <f>Output!I19</f>
        <v>0.25</v>
      </c>
      <c r="I164" s="119"/>
    </row>
    <row r="165" spans="1:9" ht="18.75" customHeight="1" x14ac:dyDescent="0.25">
      <c r="A165" s="1"/>
      <c r="B165" s="42"/>
      <c r="C165" s="42"/>
      <c r="D165" s="42"/>
      <c r="E165" s="42"/>
      <c r="F165" s="42"/>
      <c r="G165" s="539" t="s">
        <v>60</v>
      </c>
      <c r="H165" s="314">
        <f>Output!I20</f>
        <v>2.1</v>
      </c>
      <c r="I165" s="119"/>
    </row>
    <row r="166" spans="1:9" ht="18.75" customHeight="1" x14ac:dyDescent="0.25">
      <c r="A166" s="1"/>
      <c r="B166" s="42"/>
      <c r="C166" s="42"/>
      <c r="D166" s="42"/>
      <c r="E166" s="42"/>
      <c r="F166" s="42"/>
      <c r="G166" s="30"/>
      <c r="H166" s="31"/>
      <c r="I166" s="119"/>
    </row>
    <row r="167" spans="1:9" ht="18.75" customHeight="1" x14ac:dyDescent="0.25">
      <c r="A167" s="1"/>
    </row>
    <row r="168" spans="1:9" ht="18.75" customHeight="1" x14ac:dyDescent="0.25">
      <c r="A168" s="582" t="s">
        <v>868</v>
      </c>
      <c r="B168" s="583" t="s">
        <v>1280</v>
      </c>
      <c r="C168" s="584"/>
      <c r="D168" s="584"/>
      <c r="E168" s="584"/>
      <c r="F168" s="584"/>
      <c r="G168" s="585"/>
      <c r="H168" s="586"/>
      <c r="I168" s="587"/>
    </row>
    <row r="169" spans="1:9" ht="18.75" customHeight="1" x14ac:dyDescent="0.25">
      <c r="A169" s="1"/>
    </row>
    <row r="170" spans="1:9" ht="18.75" customHeight="1" x14ac:dyDescent="0.25">
      <c r="A170" s="1"/>
      <c r="B170" s="574" t="s">
        <v>1281</v>
      </c>
      <c r="C170" s="574" t="s">
        <v>1282</v>
      </c>
      <c r="D170" s="575"/>
      <c r="E170" s="576"/>
      <c r="F170" s="577"/>
      <c r="G170" s="655" t="s">
        <v>1283</v>
      </c>
      <c r="H170" s="574" t="s">
        <v>1284</v>
      </c>
    </row>
    <row r="171" spans="1:9" ht="18.75" customHeight="1" x14ac:dyDescent="0.25">
      <c r="A171" s="1"/>
      <c r="B171" s="574" t="s">
        <v>1285</v>
      </c>
      <c r="C171" s="574" t="s">
        <v>1286</v>
      </c>
      <c r="D171" s="575"/>
      <c r="E171" s="576"/>
      <c r="F171" s="577"/>
      <c r="G171" s="655"/>
      <c r="H171" s="574" t="s">
        <v>1287</v>
      </c>
    </row>
    <row r="172" spans="1:9" ht="18.75" customHeight="1" x14ac:dyDescent="0.25">
      <c r="A172" s="1"/>
      <c r="B172" s="207">
        <f>Output!C27</f>
        <v>1</v>
      </c>
      <c r="C172" s="207">
        <f>Output!D27</f>
        <v>11</v>
      </c>
      <c r="D172" s="578"/>
      <c r="E172" s="579"/>
      <c r="F172" s="580"/>
      <c r="G172" s="86">
        <f>Output!H27</f>
        <v>0.79348575208323102</v>
      </c>
      <c r="H172" s="6">
        <f>Output!I27</f>
        <v>1602.3667147283809</v>
      </c>
    </row>
    <row r="173" spans="1:9" ht="18.75" customHeight="1" x14ac:dyDescent="0.25">
      <c r="A173" s="1"/>
      <c r="B173" s="207">
        <f>Output!C28</f>
        <v>2</v>
      </c>
      <c r="C173" s="207">
        <f>Output!D28</f>
        <v>19</v>
      </c>
      <c r="D173" s="578"/>
      <c r="E173" s="579"/>
      <c r="F173" s="580"/>
      <c r="G173" s="86">
        <f>Output!H28</f>
        <v>0.79348575208323102</v>
      </c>
      <c r="H173" s="6">
        <f>Output!I28</f>
        <v>2767.7243254399305</v>
      </c>
    </row>
    <row r="174" spans="1:9" ht="18.75" customHeight="1" x14ac:dyDescent="0.25">
      <c r="A174" s="1"/>
      <c r="B174" s="207">
        <f>Output!C29</f>
        <v>3</v>
      </c>
      <c r="C174" s="207">
        <f>Output!D29</f>
        <v>19</v>
      </c>
      <c r="D174" s="578"/>
      <c r="E174" s="579"/>
      <c r="F174" s="580"/>
      <c r="G174" s="86">
        <f>Output!H29</f>
        <v>0.79348575208323102</v>
      </c>
      <c r="H174" s="6">
        <f>Output!I29</f>
        <v>2767.7243254399305</v>
      </c>
    </row>
    <row r="175" spans="1:9" ht="18.75" customHeight="1" x14ac:dyDescent="0.25">
      <c r="A175" s="1"/>
      <c r="B175" s="207">
        <f>Output!C30</f>
        <v>4</v>
      </c>
      <c r="C175" s="207">
        <f>Output!D30</f>
        <v>19</v>
      </c>
      <c r="D175" s="578"/>
      <c r="E175" s="579"/>
      <c r="F175" s="580"/>
      <c r="G175" s="86">
        <f>Output!H30</f>
        <v>0.79348575208323102</v>
      </c>
      <c r="H175" s="6">
        <f>Output!I30</f>
        <v>2767.7243254399305</v>
      </c>
    </row>
    <row r="176" spans="1:9" ht="18.75" customHeight="1" x14ac:dyDescent="0.25">
      <c r="A176" s="1"/>
    </row>
    <row r="177" spans="1:9" ht="18.75" customHeight="1" x14ac:dyDescent="0.25">
      <c r="A177" s="1"/>
    </row>
    <row r="178" spans="1:9" ht="18.75" customHeight="1" x14ac:dyDescent="0.25">
      <c r="A178" s="1"/>
    </row>
    <row r="179" spans="1:9" ht="18.75" customHeight="1" x14ac:dyDescent="0.25">
      <c r="A179" s="1"/>
    </row>
    <row r="180" spans="1:9" ht="18.75" customHeight="1" x14ac:dyDescent="0.25">
      <c r="A180" s="1"/>
    </row>
    <row r="181" spans="1:9" ht="18.75" customHeight="1" x14ac:dyDescent="0.25">
      <c r="A181" s="1"/>
    </row>
    <row r="182" spans="1:9" ht="18.75" customHeight="1" x14ac:dyDescent="0.25">
      <c r="A182" s="582" t="s">
        <v>869</v>
      </c>
      <c r="B182" s="583" t="s">
        <v>1289</v>
      </c>
      <c r="C182" s="584"/>
      <c r="D182" s="584"/>
      <c r="E182" s="584"/>
      <c r="F182" s="584"/>
      <c r="G182" s="585"/>
      <c r="H182" s="586"/>
      <c r="I182" s="587"/>
    </row>
    <row r="183" spans="1:9" ht="18.75" customHeight="1" x14ac:dyDescent="0.25">
      <c r="A183" s="1"/>
    </row>
    <row r="184" spans="1:9" ht="18.75" customHeight="1" x14ac:dyDescent="0.25">
      <c r="A184" s="1"/>
      <c r="B184" s="629" t="s">
        <v>232</v>
      </c>
      <c r="C184" s="513" t="s">
        <v>233</v>
      </c>
      <c r="D184" s="513"/>
      <c r="E184" s="629" t="s">
        <v>234</v>
      </c>
      <c r="F184" s="629"/>
      <c r="G184" s="629"/>
      <c r="H184" s="629"/>
    </row>
    <row r="185" spans="1:9" ht="18.75" customHeight="1" x14ac:dyDescent="0.25">
      <c r="A185" s="1"/>
      <c r="B185" s="629"/>
      <c r="C185" s="513" t="s">
        <v>729</v>
      </c>
      <c r="D185" s="513"/>
      <c r="E185" s="513" t="str">
        <f>Output!F36</f>
        <v>Z1</v>
      </c>
      <c r="F185" s="513" t="str">
        <f>Output!G36</f>
        <v>Z2</v>
      </c>
      <c r="G185" s="513" t="str">
        <f>Output!H36</f>
        <v>Z3</v>
      </c>
      <c r="H185" s="513" t="str">
        <f>Output!I36</f>
        <v>Z4</v>
      </c>
    </row>
    <row r="186" spans="1:9" ht="18.75" customHeight="1" x14ac:dyDescent="0.25">
      <c r="A186" s="1"/>
      <c r="B186" s="513" t="s">
        <v>46</v>
      </c>
      <c r="C186" s="513" t="s">
        <v>46</v>
      </c>
      <c r="D186" s="513"/>
      <c r="E186" s="513" t="str">
        <f>Output!F37</f>
        <v>(m)</v>
      </c>
      <c r="F186" s="513" t="str">
        <f>Output!G37</f>
        <v>(m)</v>
      </c>
      <c r="G186" s="513" t="str">
        <f>Output!H37</f>
        <v>(m)</v>
      </c>
      <c r="H186" s="513" t="str">
        <f>Output!I37</f>
        <v>(m)</v>
      </c>
    </row>
    <row r="187" spans="1:9" ht="18.75" customHeight="1" x14ac:dyDescent="0.25">
      <c r="A187" s="1"/>
      <c r="B187" s="58">
        <f>Output!C38</f>
        <v>0</v>
      </c>
      <c r="C187" s="58">
        <f>Output!D38</f>
        <v>1.0119504630245026</v>
      </c>
      <c r="D187" s="58">
        <f>Output!E38</f>
        <v>0</v>
      </c>
      <c r="E187" s="58">
        <f>Output!F38</f>
        <v>1.74</v>
      </c>
      <c r="F187" s="58">
        <f>Output!G38</f>
        <v>1.31</v>
      </c>
      <c r="G187" s="58">
        <f>Output!H38</f>
        <v>0.88</v>
      </c>
      <c r="H187" s="58">
        <f>Output!I38</f>
        <v>0.45</v>
      </c>
    </row>
    <row r="188" spans="1:9" ht="18.75" customHeight="1" x14ac:dyDescent="0.25">
      <c r="A188" s="1"/>
      <c r="B188" s="50">
        <f>Output!C39</f>
        <v>1</v>
      </c>
      <c r="C188" s="50">
        <f>Output!D39</f>
        <v>0.93278529287961365</v>
      </c>
      <c r="D188" s="50">
        <f>Output!E39</f>
        <v>0</v>
      </c>
      <c r="E188" s="50">
        <f>Output!F39</f>
        <v>1.610325</v>
      </c>
      <c r="F188" s="50">
        <f>Output!G39</f>
        <v>1.197875</v>
      </c>
      <c r="G188" s="50">
        <f>Output!H39</f>
        <v>0.80979999999999996</v>
      </c>
      <c r="H188" s="50">
        <f>Output!I39</f>
        <v>0.42172500000000002</v>
      </c>
    </row>
    <row r="189" spans="1:9" ht="18.75" customHeight="1" x14ac:dyDescent="0.25">
      <c r="A189" s="1"/>
      <c r="B189" s="50">
        <f>Output!C40</f>
        <v>2</v>
      </c>
      <c r="C189" s="50">
        <f>Output!D40</f>
        <v>0.85767987504984711</v>
      </c>
      <c r="D189" s="50">
        <f>Output!E40</f>
        <v>0</v>
      </c>
      <c r="E189" s="50">
        <f>Output!F40</f>
        <v>1.4872999999999998</v>
      </c>
      <c r="F189" s="50">
        <f>Output!G40</f>
        <v>1.0914999999999999</v>
      </c>
      <c r="G189" s="50">
        <f>Output!H40</f>
        <v>0.74319999999999997</v>
      </c>
      <c r="H189" s="50">
        <f>Output!I40</f>
        <v>0.39490000000000003</v>
      </c>
    </row>
    <row r="190" spans="1:9" ht="18.75" customHeight="1" x14ac:dyDescent="0.25">
      <c r="A190" s="1"/>
      <c r="B190" s="50">
        <f>Output!C41</f>
        <v>3</v>
      </c>
      <c r="C190" s="50">
        <f>Output!D41</f>
        <v>0.78663420953520313</v>
      </c>
      <c r="D190" s="50">
        <f>Output!E41</f>
        <v>0</v>
      </c>
      <c r="E190" s="50">
        <f>Output!F41</f>
        <v>1.3709249999999999</v>
      </c>
      <c r="F190" s="50">
        <f>Output!G41</f>
        <v>0.99087499999999995</v>
      </c>
      <c r="G190" s="50">
        <f>Output!H41</f>
        <v>0.68020000000000003</v>
      </c>
      <c r="H190" s="50">
        <f>Output!I41</f>
        <v>0.36952499999999999</v>
      </c>
    </row>
    <row r="191" spans="1:9" ht="18.75" customHeight="1" x14ac:dyDescent="0.25">
      <c r="A191" s="1"/>
      <c r="B191" s="50">
        <f>Output!C42</f>
        <v>4</v>
      </c>
      <c r="C191" s="50">
        <f>Output!D42</f>
        <v>0.71964829633568161</v>
      </c>
      <c r="D191" s="50">
        <f>Output!E42</f>
        <v>0</v>
      </c>
      <c r="E191" s="50">
        <f>Output!F42</f>
        <v>1.2611999999999999</v>
      </c>
      <c r="F191" s="50">
        <f>Output!G42</f>
        <v>0.89600000000000002</v>
      </c>
      <c r="G191" s="50">
        <f>Output!H42</f>
        <v>0.62080000000000002</v>
      </c>
      <c r="H191" s="50">
        <f>Output!I42</f>
        <v>0.34560000000000002</v>
      </c>
    </row>
    <row r="192" spans="1:9" ht="18.75" customHeight="1" x14ac:dyDescent="0.25">
      <c r="A192" s="1"/>
      <c r="B192" s="58">
        <f>Output!C43</f>
        <v>5</v>
      </c>
      <c r="C192" s="58">
        <f>Output!D43</f>
        <v>0.65672213545128266</v>
      </c>
      <c r="D192" s="58">
        <f>Output!E43</f>
        <v>0</v>
      </c>
      <c r="E192" s="58">
        <f>Output!F43</f>
        <v>1.1581250000000001</v>
      </c>
      <c r="F192" s="58">
        <f>Output!G43</f>
        <v>0.80687500000000001</v>
      </c>
      <c r="G192" s="58">
        <f>Output!H43</f>
        <v>0.56499999999999995</v>
      </c>
      <c r="H192" s="58">
        <f>Output!I43</f>
        <v>0.323125</v>
      </c>
    </row>
    <row r="193" spans="1:8" ht="18.75" customHeight="1" x14ac:dyDescent="0.25">
      <c r="A193" s="1"/>
      <c r="B193" s="50">
        <f>Output!C44</f>
        <v>6</v>
      </c>
      <c r="C193" s="50">
        <f>Output!D44</f>
        <v>0.59785572688200628</v>
      </c>
      <c r="D193" s="50">
        <f>Output!E44</f>
        <v>0</v>
      </c>
      <c r="E193" s="50">
        <f>Output!F44</f>
        <v>1.0616999999999999</v>
      </c>
      <c r="F193" s="50">
        <f>Output!G44</f>
        <v>0.72350000000000003</v>
      </c>
      <c r="G193" s="50">
        <f>Output!H44</f>
        <v>0.51279999999999992</v>
      </c>
      <c r="H193" s="50">
        <f>Output!I44</f>
        <v>0.30209999999999998</v>
      </c>
    </row>
    <row r="194" spans="1:8" ht="18.75" customHeight="1" x14ac:dyDescent="0.25">
      <c r="A194" s="1"/>
      <c r="B194" s="50">
        <f>Output!C45</f>
        <v>7</v>
      </c>
      <c r="C194" s="50">
        <f>Output!D45</f>
        <v>0.54304907062785235</v>
      </c>
      <c r="D194" s="50">
        <f>Output!E45</f>
        <v>0</v>
      </c>
      <c r="E194" s="50">
        <f>Output!F45</f>
        <v>0.97192499999999993</v>
      </c>
      <c r="F194" s="50">
        <f>Output!G45</f>
        <v>0.64587500000000009</v>
      </c>
      <c r="G194" s="50">
        <f>Output!H45</f>
        <v>0.4642</v>
      </c>
      <c r="H194" s="50">
        <f>Output!I45</f>
        <v>0.28252500000000003</v>
      </c>
    </row>
    <row r="195" spans="1:8" ht="18.75" customHeight="1" x14ac:dyDescent="0.25">
      <c r="A195" s="1"/>
      <c r="B195" s="50">
        <f>Output!C46</f>
        <v>8</v>
      </c>
      <c r="C195" s="50">
        <f>Output!D46</f>
        <v>0.49230216668882087</v>
      </c>
      <c r="D195" s="50">
        <f>Output!E46</f>
        <v>0</v>
      </c>
      <c r="E195" s="50">
        <f>Output!F46</f>
        <v>0.88879999999999992</v>
      </c>
      <c r="F195" s="50">
        <f>Output!G46</f>
        <v>0.57399999999999995</v>
      </c>
      <c r="G195" s="50">
        <f>Output!H46</f>
        <v>0.41920000000000002</v>
      </c>
      <c r="H195" s="50">
        <f>Output!I46</f>
        <v>0.26439999999999997</v>
      </c>
    </row>
    <row r="196" spans="1:8" ht="18.75" customHeight="1" x14ac:dyDescent="0.25">
      <c r="A196" s="1"/>
      <c r="B196" s="50">
        <f>Output!C47</f>
        <v>9</v>
      </c>
      <c r="C196" s="50">
        <f>Output!D47</f>
        <v>0.44561501506491197</v>
      </c>
      <c r="D196" s="50">
        <f>Output!E47</f>
        <v>0</v>
      </c>
      <c r="E196" s="50">
        <f>Output!F47</f>
        <v>0.81232499999999996</v>
      </c>
      <c r="F196" s="50">
        <f>Output!G47</f>
        <v>0.50787499999999997</v>
      </c>
      <c r="G196" s="50">
        <f>Output!H47</f>
        <v>0.37780000000000002</v>
      </c>
      <c r="H196" s="50">
        <f>Output!I47</f>
        <v>0.247725</v>
      </c>
    </row>
    <row r="197" spans="1:8" ht="18.75" customHeight="1" x14ac:dyDescent="0.25">
      <c r="A197" s="1"/>
      <c r="B197" s="58">
        <f>Output!C48</f>
        <v>10</v>
      </c>
      <c r="C197" s="58">
        <f>Output!D48</f>
        <v>0.40298761575612563</v>
      </c>
      <c r="D197" s="58">
        <f>Output!E48</f>
        <v>0</v>
      </c>
      <c r="E197" s="58">
        <f>Output!F48</f>
        <v>0.74249999999999994</v>
      </c>
      <c r="F197" s="58">
        <f>Output!G48</f>
        <v>0.4474999999999999</v>
      </c>
      <c r="G197" s="58">
        <f>Output!H48</f>
        <v>0.34000000000000008</v>
      </c>
      <c r="H197" s="58">
        <f>Output!I48</f>
        <v>0.23249999999999998</v>
      </c>
    </row>
    <row r="198" spans="1:8" ht="18.75" customHeight="1" x14ac:dyDescent="0.25">
      <c r="A198" s="1"/>
      <c r="B198" s="50">
        <f>Output!C49</f>
        <v>11</v>
      </c>
      <c r="C198" s="50">
        <f>Output!D49</f>
        <v>0.36441996876246174</v>
      </c>
      <c r="D198" s="50">
        <f>Output!E49</f>
        <v>0</v>
      </c>
      <c r="E198" s="50">
        <f>Output!F49</f>
        <v>0.67932499999999996</v>
      </c>
      <c r="F198" s="50">
        <f>Output!G49</f>
        <v>0.39287499999999986</v>
      </c>
      <c r="G198" s="50">
        <f>Output!H49</f>
        <v>0.30580000000000007</v>
      </c>
      <c r="H198" s="50">
        <f>Output!I49</f>
        <v>0.21872499999999997</v>
      </c>
    </row>
    <row r="199" spans="1:8" ht="18.75" customHeight="1" x14ac:dyDescent="0.25">
      <c r="A199" s="1"/>
      <c r="B199" s="50">
        <f>Output!C50</f>
        <v>12</v>
      </c>
      <c r="C199" s="50">
        <f>Output!D50</f>
        <v>0.32991207408392031</v>
      </c>
      <c r="D199" s="50">
        <f>Output!E50</f>
        <v>0</v>
      </c>
      <c r="E199" s="50">
        <f>Output!F50</f>
        <v>0.6227999999999998</v>
      </c>
      <c r="F199" s="50">
        <f>Output!G50</f>
        <v>0.34399999999999997</v>
      </c>
      <c r="G199" s="50">
        <f>Output!H50</f>
        <v>0.2752</v>
      </c>
      <c r="H199" s="50">
        <f>Output!I50</f>
        <v>0.20639999999999997</v>
      </c>
    </row>
    <row r="200" spans="1:8" ht="18.75" customHeight="1" x14ac:dyDescent="0.25">
      <c r="A200" s="1"/>
      <c r="B200" s="50">
        <f>Output!C51</f>
        <v>13</v>
      </c>
      <c r="C200" s="50">
        <f>Output!D51</f>
        <v>0.29946393172050156</v>
      </c>
      <c r="D200" s="50">
        <f>Output!E51</f>
        <v>0</v>
      </c>
      <c r="E200" s="50">
        <f>Output!F51</f>
        <v>0.57292499999999991</v>
      </c>
      <c r="F200" s="50">
        <f>Output!G51</f>
        <v>0.300875</v>
      </c>
      <c r="G200" s="50">
        <f>Output!H51</f>
        <v>0.24820000000000009</v>
      </c>
      <c r="H200" s="50">
        <f>Output!I51</f>
        <v>0.195525</v>
      </c>
    </row>
    <row r="201" spans="1:8" ht="18.75" customHeight="1" x14ac:dyDescent="0.25">
      <c r="A201" s="1"/>
      <c r="B201" s="50">
        <f>Output!C52</f>
        <v>14</v>
      </c>
      <c r="C201" s="50">
        <f>Output!D52</f>
        <v>0.27307554167220527</v>
      </c>
      <c r="D201" s="50">
        <f>Output!E52</f>
        <v>0</v>
      </c>
      <c r="E201" s="50">
        <f>Output!F52</f>
        <v>0.52970000000000006</v>
      </c>
      <c r="F201" s="50">
        <f>Output!G52</f>
        <v>0.26350000000000007</v>
      </c>
      <c r="G201" s="50">
        <f>Output!H52</f>
        <v>0.2248</v>
      </c>
      <c r="H201" s="50">
        <f>Output!I52</f>
        <v>0.18609999999999999</v>
      </c>
    </row>
    <row r="202" spans="1:8" ht="18.75" customHeight="1" x14ac:dyDescent="0.25">
      <c r="A202" s="1"/>
      <c r="B202" s="58">
        <f>Output!C53</f>
        <v>15</v>
      </c>
      <c r="C202" s="58">
        <f>Output!D53</f>
        <v>0.25074690393903132</v>
      </c>
      <c r="D202" s="58">
        <f>Output!E53</f>
        <v>0</v>
      </c>
      <c r="E202" s="58">
        <f>Output!F53</f>
        <v>0.49312499999999981</v>
      </c>
      <c r="F202" s="58">
        <f>Output!G53</f>
        <v>0.23187499999999983</v>
      </c>
      <c r="G202" s="58">
        <f>Output!H53</f>
        <v>0.20500000000000007</v>
      </c>
      <c r="H202" s="58">
        <f>Output!I53</f>
        <v>0.17812499999999998</v>
      </c>
    </row>
    <row r="203" spans="1:8" ht="18.75" customHeight="1" x14ac:dyDescent="0.25">
      <c r="A203" s="1"/>
      <c r="B203" s="50">
        <f>Output!C54</f>
        <v>16</v>
      </c>
      <c r="C203" s="50">
        <f>Output!D54</f>
        <v>0.23247801852098005</v>
      </c>
      <c r="D203" s="50">
        <f>Output!E54</f>
        <v>0</v>
      </c>
      <c r="E203" s="50">
        <f>Output!F54</f>
        <v>0.46319999999999983</v>
      </c>
      <c r="F203" s="50">
        <f>Output!G54</f>
        <v>0.20599999999999996</v>
      </c>
      <c r="G203" s="50">
        <f>Output!H54</f>
        <v>0.18879999999999997</v>
      </c>
      <c r="H203" s="50">
        <f>Output!I54</f>
        <v>0.17159999999999997</v>
      </c>
    </row>
    <row r="204" spans="1:8" ht="18.75" customHeight="1" x14ac:dyDescent="0.25">
      <c r="A204" s="1"/>
      <c r="B204" s="50">
        <f>Output!C55</f>
        <v>17</v>
      </c>
      <c r="C204" s="50">
        <f>Output!D55</f>
        <v>0.21826888541805134</v>
      </c>
      <c r="D204" s="50">
        <f>Output!E55</f>
        <v>0</v>
      </c>
      <c r="E204" s="50">
        <f>Output!F55</f>
        <v>0.43992500000000012</v>
      </c>
      <c r="F204" s="50">
        <f>Output!G55</f>
        <v>0.18587500000000001</v>
      </c>
      <c r="G204" s="50">
        <f>Output!H55</f>
        <v>0.17619999999999991</v>
      </c>
      <c r="H204" s="50">
        <f>Output!I55</f>
        <v>0.16652499999999998</v>
      </c>
    </row>
    <row r="205" spans="1:8" ht="18.75" customHeight="1" x14ac:dyDescent="0.25">
      <c r="A205" s="1"/>
      <c r="B205" s="50">
        <f>Output!C56</f>
        <v>18</v>
      </c>
      <c r="C205" s="50">
        <f>Output!D56</f>
        <v>0.20811950463024498</v>
      </c>
      <c r="D205" s="50">
        <f>Output!E56</f>
        <v>0</v>
      </c>
      <c r="E205" s="50">
        <f>Output!F56</f>
        <v>0.42330000000000001</v>
      </c>
      <c r="F205" s="50">
        <f>Output!G56</f>
        <v>0.17149999999999999</v>
      </c>
      <c r="G205" s="50">
        <f>Output!H56</f>
        <v>0.16720000000000002</v>
      </c>
      <c r="H205" s="50">
        <f>Output!I56</f>
        <v>0.16289999999999999</v>
      </c>
    </row>
    <row r="206" spans="1:8" ht="18.75" customHeight="1" x14ac:dyDescent="0.25">
      <c r="A206" s="1"/>
      <c r="B206" s="50">
        <f>Output!C57</f>
        <v>19</v>
      </c>
      <c r="C206" s="50">
        <f>Output!D57</f>
        <v>0.20202987615756118</v>
      </c>
      <c r="D206" s="50">
        <f>Output!E57</f>
        <v>0</v>
      </c>
      <c r="E206" s="50">
        <f>Output!F57</f>
        <v>0.41332499999999972</v>
      </c>
      <c r="F206" s="50">
        <f>Output!G57</f>
        <v>0.16287499999999988</v>
      </c>
      <c r="G206" s="50">
        <f>Output!H57</f>
        <v>0.16179999999999994</v>
      </c>
      <c r="H206" s="50">
        <f>Output!I57</f>
        <v>0.16072499999999995</v>
      </c>
    </row>
    <row r="207" spans="1:8" ht="18.75" customHeight="1" x14ac:dyDescent="0.25">
      <c r="A207" s="1"/>
      <c r="B207" s="58">
        <f>Output!C58</f>
        <v>20</v>
      </c>
      <c r="C207" s="58">
        <f>Output!D58</f>
        <v>0.19999999999999996</v>
      </c>
      <c r="D207" s="58">
        <f>Output!E58</f>
        <v>0</v>
      </c>
      <c r="E207" s="58">
        <f>Output!F58</f>
        <v>0.40999999999999992</v>
      </c>
      <c r="F207" s="58">
        <f>Output!G58</f>
        <v>0.15999999999999992</v>
      </c>
      <c r="G207" s="58">
        <f>Output!H58</f>
        <v>0.16000000000000003</v>
      </c>
      <c r="H207" s="58">
        <f>Output!I58</f>
        <v>0.15999999999999998</v>
      </c>
    </row>
    <row r="208" spans="1:8" ht="18.75" customHeight="1" x14ac:dyDescent="0.25">
      <c r="A208" s="1"/>
    </row>
    <row r="209" spans="1:1" ht="18.75" customHeight="1" x14ac:dyDescent="0.25">
      <c r="A209" s="1"/>
    </row>
    <row r="210" spans="1:1" ht="18.75" customHeight="1" x14ac:dyDescent="0.25">
      <c r="A210" s="1"/>
    </row>
    <row r="211" spans="1:1" ht="18.75" customHeight="1" x14ac:dyDescent="0.25">
      <c r="A211" s="1"/>
    </row>
    <row r="212" spans="1:1" ht="18.75" customHeight="1" x14ac:dyDescent="0.25">
      <c r="A212" s="1"/>
    </row>
    <row r="213" spans="1:1" ht="18.75" customHeight="1" x14ac:dyDescent="0.25">
      <c r="A213" s="1"/>
    </row>
    <row r="214" spans="1:1" ht="18.75" customHeight="1" x14ac:dyDescent="0.25">
      <c r="A214" s="1"/>
    </row>
    <row r="215" spans="1:1" ht="18.75" customHeight="1" x14ac:dyDescent="0.25">
      <c r="A215" s="1"/>
    </row>
    <row r="216" spans="1:1" ht="18.75" customHeight="1" x14ac:dyDescent="0.25">
      <c r="A216" s="1"/>
    </row>
    <row r="217" spans="1:1" ht="18.75" customHeight="1" x14ac:dyDescent="0.25">
      <c r="A217" s="1"/>
    </row>
    <row r="218" spans="1:1" ht="18.75" customHeight="1" x14ac:dyDescent="0.25">
      <c r="A218" s="1"/>
    </row>
    <row r="219" spans="1:1" ht="18.75" customHeight="1" x14ac:dyDescent="0.25">
      <c r="A219" s="1"/>
    </row>
    <row r="220" spans="1:1" ht="18.75" customHeight="1" x14ac:dyDescent="0.25">
      <c r="A220" s="1"/>
    </row>
    <row r="221" spans="1:1" ht="18.75" customHeight="1" x14ac:dyDescent="0.25">
      <c r="A221" s="1"/>
    </row>
    <row r="222" spans="1:1" ht="18.75" customHeight="1" x14ac:dyDescent="0.25">
      <c r="A222" s="1"/>
    </row>
    <row r="223" spans="1:1" ht="18.75" customHeight="1" x14ac:dyDescent="0.25">
      <c r="A223" s="1"/>
    </row>
    <row r="224" spans="1:1" ht="18.75" customHeight="1" x14ac:dyDescent="0.25">
      <c r="A224" s="1"/>
    </row>
    <row r="225" spans="1:9" ht="18.75" customHeight="1" x14ac:dyDescent="0.25">
      <c r="A225" s="1"/>
    </row>
    <row r="226" spans="1:9" ht="18.75" customHeight="1" x14ac:dyDescent="0.25">
      <c r="A226" s="1"/>
    </row>
    <row r="227" spans="1:9" ht="18.75" customHeight="1" x14ac:dyDescent="0.25">
      <c r="A227" s="1"/>
    </row>
    <row r="228" spans="1:9" ht="18.75" customHeight="1" x14ac:dyDescent="0.25">
      <c r="A228" s="1"/>
    </row>
    <row r="229" spans="1:9" ht="18.75" customHeight="1" x14ac:dyDescent="0.25">
      <c r="A229" s="1"/>
    </row>
    <row r="230" spans="1:9" ht="18.75" customHeight="1" x14ac:dyDescent="0.25">
      <c r="A230" s="1"/>
    </row>
    <row r="231" spans="1:9" ht="18.75" customHeight="1" x14ac:dyDescent="0.25">
      <c r="A231" s="1"/>
    </row>
    <row r="232" spans="1:9" ht="18.75" customHeight="1" x14ac:dyDescent="0.25">
      <c r="A232" s="1"/>
    </row>
    <row r="233" spans="1:9" ht="18.75" customHeight="1" x14ac:dyDescent="0.25">
      <c r="A233" s="1"/>
    </row>
    <row r="234" spans="1:9" ht="18.75" customHeight="1" x14ac:dyDescent="0.25">
      <c r="A234" s="582" t="s">
        <v>1304</v>
      </c>
      <c r="B234" s="583" t="s">
        <v>1291</v>
      </c>
      <c r="C234" s="584"/>
      <c r="D234" s="584"/>
      <c r="E234" s="584"/>
      <c r="F234" s="584"/>
      <c r="G234" s="585"/>
      <c r="H234" s="586"/>
      <c r="I234" s="587"/>
    </row>
    <row r="235" spans="1:9" ht="18.75" customHeight="1" x14ac:dyDescent="0.25">
      <c r="A235" s="1"/>
      <c r="B235" s="581" t="s">
        <v>370</v>
      </c>
      <c r="C235" s="42"/>
      <c r="D235" s="42"/>
      <c r="E235" s="42"/>
      <c r="F235" s="42"/>
      <c r="G235" s="30" t="s">
        <v>296</v>
      </c>
      <c r="H235" s="512">
        <f>Output!I78</f>
        <v>9905.5396910481722</v>
      </c>
      <c r="I235" s="503" t="s">
        <v>40</v>
      </c>
    </row>
    <row r="236" spans="1:9" ht="18.75" customHeight="1" x14ac:dyDescent="0.25">
      <c r="A236" s="1"/>
      <c r="B236" s="581" t="s">
        <v>371</v>
      </c>
      <c r="C236" s="42"/>
      <c r="D236" s="42"/>
      <c r="E236" s="42"/>
      <c r="F236" s="42"/>
      <c r="G236" s="30" t="s">
        <v>286</v>
      </c>
      <c r="H236" s="512">
        <f>Output!I79</f>
        <v>9608.3735003167276</v>
      </c>
      <c r="I236" s="503" t="s">
        <v>40</v>
      </c>
    </row>
    <row r="237" spans="1:9" ht="18.75" customHeight="1" x14ac:dyDescent="0.25">
      <c r="A237" s="1"/>
      <c r="B237" s="581" t="s">
        <v>372</v>
      </c>
      <c r="C237" s="42"/>
      <c r="D237" s="42"/>
      <c r="E237" s="42"/>
      <c r="F237" s="42"/>
      <c r="G237" s="30" t="s">
        <v>287</v>
      </c>
      <c r="H237" s="512">
        <f>Output!I80</f>
        <v>9416.8127703820446</v>
      </c>
      <c r="I237" s="503" t="s">
        <v>40</v>
      </c>
    </row>
    <row r="238" spans="1:9" ht="18.75" customHeight="1" x14ac:dyDescent="0.25">
      <c r="A238" s="1"/>
      <c r="B238" s="581" t="s">
        <v>977</v>
      </c>
      <c r="C238" s="42"/>
      <c r="D238" s="42"/>
      <c r="E238" s="42"/>
      <c r="F238" s="42"/>
      <c r="G238" s="30" t="s">
        <v>298</v>
      </c>
      <c r="H238" s="512">
        <f>Output!I81</f>
        <v>8901.7660267627289</v>
      </c>
      <c r="I238" s="503" t="s">
        <v>40</v>
      </c>
    </row>
    <row r="239" spans="1:9" ht="18.75" customHeight="1" x14ac:dyDescent="0.25">
      <c r="A239" s="1"/>
      <c r="B239" s="581" t="s">
        <v>373</v>
      </c>
      <c r="C239" s="42"/>
      <c r="D239" s="42"/>
      <c r="E239" s="42"/>
      <c r="F239" s="42"/>
      <c r="G239" s="30" t="s">
        <v>374</v>
      </c>
      <c r="H239" s="512">
        <f>Output!I82</f>
        <v>7579.4128750556474</v>
      </c>
      <c r="I239" s="503" t="s">
        <v>40</v>
      </c>
    </row>
    <row r="240" spans="1:9" ht="18.75" customHeight="1" x14ac:dyDescent="0.25">
      <c r="A240" s="1"/>
    </row>
    <row r="241" spans="1:9" ht="18.75" customHeight="1" x14ac:dyDescent="0.25">
      <c r="A241" s="1"/>
      <c r="B241" s="42" t="s">
        <v>913</v>
      </c>
      <c r="C241" s="42"/>
      <c r="D241" s="42"/>
      <c r="E241" s="42"/>
      <c r="F241" s="42"/>
      <c r="G241" s="42"/>
      <c r="H241" s="30"/>
      <c r="I241" s="236"/>
    </row>
    <row r="242" spans="1:9" ht="18.75" customHeight="1" x14ac:dyDescent="0.25">
      <c r="A242" s="1"/>
      <c r="B242" s="42" t="s">
        <v>361</v>
      </c>
      <c r="C242" s="42"/>
      <c r="D242" s="31" t="s">
        <v>915</v>
      </c>
      <c r="E242" s="31"/>
      <c r="F242" s="262">
        <v>0.3</v>
      </c>
      <c r="G242" s="42"/>
      <c r="H242" s="30"/>
      <c r="I242" s="31"/>
    </row>
    <row r="243" spans="1:9" ht="18.75" customHeight="1" x14ac:dyDescent="0.25">
      <c r="A243" s="1"/>
      <c r="B243" s="42"/>
      <c r="C243" s="42"/>
      <c r="D243" s="86">
        <f>Output!E86</f>
        <v>0.23483090155044162</v>
      </c>
      <c r="E243" s="31" t="str">
        <f>IF(D243&lt;F243,"&lt;","&gt;")</f>
        <v>&lt;</v>
      </c>
      <c r="F243" s="86">
        <f>Output!G86</f>
        <v>0.3</v>
      </c>
      <c r="G243" s="245" t="s">
        <v>363</v>
      </c>
      <c r="H243" s="132" t="str">
        <f>IF(D243&lt;F243,"[ OK ]","[ NOT OK ]")</f>
        <v>[ OK ]</v>
      </c>
      <c r="I243" s="42"/>
    </row>
    <row r="244" spans="1:9" ht="18.75" customHeight="1" x14ac:dyDescent="0.25">
      <c r="A244" s="1"/>
      <c r="B244" s="42"/>
      <c r="C244" s="42"/>
      <c r="D244" s="236"/>
      <c r="E244" s="31"/>
      <c r="F244" s="236"/>
      <c r="G244" s="42"/>
      <c r="H244" s="245"/>
      <c r="I244" s="132"/>
    </row>
    <row r="245" spans="1:9" ht="18.75" customHeight="1" x14ac:dyDescent="0.25">
      <c r="A245" s="1"/>
      <c r="B245" s="42" t="s">
        <v>914</v>
      </c>
      <c r="C245" s="42"/>
      <c r="D245" s="42"/>
      <c r="E245" s="42"/>
      <c r="F245" s="42"/>
      <c r="G245" s="42"/>
      <c r="H245" s="30"/>
      <c r="I245" s="237"/>
    </row>
    <row r="246" spans="1:9" ht="18.75" customHeight="1" x14ac:dyDescent="0.25">
      <c r="A246" s="1"/>
      <c r="B246" s="42" t="s">
        <v>361</v>
      </c>
      <c r="C246" s="42"/>
      <c r="D246" s="31" t="s">
        <v>367</v>
      </c>
      <c r="E246" s="31" t="s">
        <v>362</v>
      </c>
      <c r="F246" s="31" t="s">
        <v>368</v>
      </c>
      <c r="G246" s="42"/>
      <c r="H246" s="30"/>
      <c r="I246" s="31"/>
    </row>
    <row r="247" spans="1:9" ht="18.75" customHeight="1" x14ac:dyDescent="0.25">
      <c r="A247" s="1"/>
      <c r="B247" s="42"/>
      <c r="C247" s="42"/>
      <c r="D247" s="512">
        <f>Output!E90</f>
        <v>1129.3004462506181</v>
      </c>
      <c r="E247" s="31" t="str">
        <f>IF(D247&lt;F247,"&lt;","&gt;")</f>
        <v>&lt;</v>
      </c>
      <c r="F247" s="512">
        <f>Output!G90</f>
        <v>1302</v>
      </c>
      <c r="G247" s="245" t="s">
        <v>363</v>
      </c>
      <c r="H247" s="132" t="str">
        <f>IF(D247&lt;F247,"[ OK ]","[ NOT OK ]")</f>
        <v>[ OK ]</v>
      </c>
      <c r="I247" s="42"/>
    </row>
    <row r="248" spans="1:9" ht="18.75" customHeight="1" x14ac:dyDescent="0.25">
      <c r="A248" s="1"/>
    </row>
    <row r="249" spans="1:9" ht="18.75" customHeight="1" x14ac:dyDescent="0.25">
      <c r="A249" s="1"/>
    </row>
    <row r="250" spans="1:9" ht="18.75" customHeight="1" x14ac:dyDescent="0.25">
      <c r="A250" s="1"/>
    </row>
    <row r="251" spans="1:9" ht="18.75" customHeight="1" x14ac:dyDescent="0.25">
      <c r="A251" s="1"/>
    </row>
    <row r="252" spans="1:9" ht="18.75" customHeight="1" x14ac:dyDescent="0.25">
      <c r="A252" s="1"/>
    </row>
    <row r="253" spans="1:9" ht="18.75" customHeight="1" x14ac:dyDescent="0.25">
      <c r="A253" s="1"/>
    </row>
    <row r="254" spans="1:9" ht="18.75" customHeight="1" x14ac:dyDescent="0.25">
      <c r="A254" s="1"/>
    </row>
    <row r="255" spans="1:9" ht="18.75" customHeight="1" x14ac:dyDescent="0.25">
      <c r="A255" s="1"/>
    </row>
    <row r="256" spans="1:9" ht="18.75" customHeight="1" x14ac:dyDescent="0.25">
      <c r="A256" s="1"/>
    </row>
    <row r="257" spans="1:9" ht="18.75" customHeight="1" x14ac:dyDescent="0.25">
      <c r="A257" s="1"/>
    </row>
    <row r="258" spans="1:9" ht="18.75" customHeight="1" x14ac:dyDescent="0.25">
      <c r="A258" s="1"/>
    </row>
    <row r="259" spans="1:9" ht="18.75" customHeight="1" x14ac:dyDescent="0.25">
      <c r="A259" s="1"/>
    </row>
    <row r="260" spans="1:9" ht="18.75" customHeight="1" x14ac:dyDescent="0.25">
      <c r="A260" s="1"/>
    </row>
    <row r="261" spans="1:9" ht="18.75" customHeight="1" x14ac:dyDescent="0.25">
      <c r="A261" s="1"/>
    </row>
    <row r="262" spans="1:9" ht="18.75" customHeight="1" x14ac:dyDescent="0.25">
      <c r="A262" s="1"/>
    </row>
    <row r="263" spans="1:9" ht="18.75" customHeight="1" x14ac:dyDescent="0.25">
      <c r="A263" s="1"/>
    </row>
    <row r="264" spans="1:9" ht="18.75" customHeight="1" x14ac:dyDescent="0.25">
      <c r="A264" s="1"/>
    </row>
    <row r="265" spans="1:9" ht="18.75" customHeight="1" x14ac:dyDescent="0.25">
      <c r="A265" s="1"/>
    </row>
    <row r="266" spans="1:9" ht="18.75" customHeight="1" x14ac:dyDescent="0.25">
      <c r="A266" s="1"/>
    </row>
    <row r="267" spans="1:9" ht="18.75" customHeight="1" x14ac:dyDescent="0.25">
      <c r="A267" s="1"/>
    </row>
    <row r="268" spans="1:9" ht="18.75" customHeight="1" x14ac:dyDescent="0.25">
      <c r="A268" s="1"/>
    </row>
    <row r="269" spans="1:9" ht="18.75" customHeight="1" x14ac:dyDescent="0.25">
      <c r="A269" s="1"/>
    </row>
    <row r="270" spans="1:9" ht="18.75" customHeight="1" x14ac:dyDescent="0.25">
      <c r="A270" s="1"/>
    </row>
    <row r="271" spans="1:9" ht="18.75" customHeight="1" x14ac:dyDescent="0.25">
      <c r="A271" s="1"/>
    </row>
    <row r="272" spans="1:9" ht="18.75" customHeight="1" x14ac:dyDescent="0.25">
      <c r="A272" s="582" t="s">
        <v>1305</v>
      </c>
      <c r="B272" s="583" t="s">
        <v>1294</v>
      </c>
      <c r="C272" s="584"/>
      <c r="D272" s="584"/>
      <c r="E272" s="584"/>
      <c r="F272" s="584"/>
      <c r="G272" s="585"/>
      <c r="H272" s="586"/>
      <c r="I272" s="587"/>
    </row>
    <row r="273" spans="1:2" ht="18.75" customHeight="1" x14ac:dyDescent="0.25">
      <c r="A273" s="1"/>
      <c r="B273" s="332" t="s">
        <v>664</v>
      </c>
    </row>
    <row r="274" spans="1:2" ht="18.75" customHeight="1" x14ac:dyDescent="0.25">
      <c r="A274" s="1"/>
    </row>
    <row r="275" spans="1:2" ht="18.75" customHeight="1" x14ac:dyDescent="0.25">
      <c r="A275" s="1"/>
    </row>
    <row r="276" spans="1:2" ht="18.75" customHeight="1" x14ac:dyDescent="0.25">
      <c r="A276" s="1"/>
    </row>
    <row r="277" spans="1:2" ht="18.75" customHeight="1" x14ac:dyDescent="0.25">
      <c r="A277" s="1"/>
    </row>
    <row r="278" spans="1:2" ht="18.75" customHeight="1" x14ac:dyDescent="0.25">
      <c r="A278" s="1"/>
    </row>
    <row r="279" spans="1:2" ht="18.75" customHeight="1" x14ac:dyDescent="0.25">
      <c r="A279" s="1"/>
    </row>
    <row r="280" spans="1:2" ht="18.75" customHeight="1" x14ac:dyDescent="0.25">
      <c r="A280" s="1"/>
    </row>
    <row r="281" spans="1:2" ht="18.75" customHeight="1" x14ac:dyDescent="0.25">
      <c r="A281" s="1"/>
    </row>
    <row r="282" spans="1:2" ht="18.75" customHeight="1" x14ac:dyDescent="0.25">
      <c r="A282" s="1"/>
    </row>
    <row r="283" spans="1:2" ht="18.75" customHeight="1" x14ac:dyDescent="0.25">
      <c r="A283" s="1"/>
      <c r="B283" s="332" t="s">
        <v>666</v>
      </c>
    </row>
    <row r="284" spans="1:2" ht="18.75" customHeight="1" x14ac:dyDescent="0.25">
      <c r="A284" s="1"/>
    </row>
    <row r="285" spans="1:2" ht="18.75" customHeight="1" x14ac:dyDescent="0.25">
      <c r="A285" s="1"/>
    </row>
    <row r="286" spans="1:2" ht="18.75" customHeight="1" x14ac:dyDescent="0.25">
      <c r="A286" s="1"/>
    </row>
    <row r="287" spans="1:2" ht="18.75" customHeight="1" x14ac:dyDescent="0.25">
      <c r="A287" s="1"/>
    </row>
    <row r="288" spans="1:2" ht="18.75" customHeight="1" x14ac:dyDescent="0.25">
      <c r="A288" s="1"/>
    </row>
    <row r="289" spans="1:2" ht="18.75" customHeight="1" x14ac:dyDescent="0.25">
      <c r="A289" s="1"/>
    </row>
    <row r="290" spans="1:2" ht="18.75" customHeight="1" x14ac:dyDescent="0.25">
      <c r="A290" s="1"/>
    </row>
    <row r="291" spans="1:2" ht="18.75" customHeight="1" x14ac:dyDescent="0.25">
      <c r="A291" s="1"/>
    </row>
    <row r="292" spans="1:2" ht="18.75" customHeight="1" x14ac:dyDescent="0.25">
      <c r="A292" s="1"/>
    </row>
    <row r="293" spans="1:2" ht="18.75" customHeight="1" x14ac:dyDescent="0.25">
      <c r="A293" s="1"/>
      <c r="B293" s="332" t="s">
        <v>668</v>
      </c>
    </row>
    <row r="294" spans="1:2" ht="18.75" customHeight="1" x14ac:dyDescent="0.25">
      <c r="A294" s="1"/>
    </row>
    <row r="295" spans="1:2" ht="18.75" customHeight="1" x14ac:dyDescent="0.25">
      <c r="A295" s="1"/>
    </row>
    <row r="296" spans="1:2" ht="18.75" customHeight="1" x14ac:dyDescent="0.25">
      <c r="A296" s="1"/>
    </row>
    <row r="297" spans="1:2" ht="18.75" customHeight="1" x14ac:dyDescent="0.25">
      <c r="A297" s="1"/>
    </row>
    <row r="298" spans="1:2" ht="18.75" customHeight="1" x14ac:dyDescent="0.25">
      <c r="A298" s="1"/>
    </row>
    <row r="299" spans="1:2" ht="18.75" customHeight="1" x14ac:dyDescent="0.25">
      <c r="A299" s="1"/>
    </row>
    <row r="300" spans="1:2" ht="18.75" customHeight="1" x14ac:dyDescent="0.25">
      <c r="A300" s="1"/>
    </row>
    <row r="301" spans="1:2" ht="18.75" customHeight="1" x14ac:dyDescent="0.25">
      <c r="A301" s="1"/>
    </row>
    <row r="302" spans="1:2" ht="18.75" customHeight="1" x14ac:dyDescent="0.25">
      <c r="A302" s="1"/>
    </row>
    <row r="303" spans="1:2" ht="18.75" customHeight="1" x14ac:dyDescent="0.25">
      <c r="A303" s="1"/>
      <c r="B303" s="332" t="s">
        <v>670</v>
      </c>
    </row>
    <row r="304" spans="1:2" ht="18.75" customHeight="1" x14ac:dyDescent="0.25">
      <c r="A304" s="1"/>
    </row>
    <row r="305" spans="1:2" ht="18.75" customHeight="1" x14ac:dyDescent="0.25">
      <c r="A305" s="1"/>
    </row>
    <row r="306" spans="1:2" ht="18.75" customHeight="1" x14ac:dyDescent="0.25">
      <c r="A306" s="1"/>
    </row>
    <row r="307" spans="1:2" ht="18.75" customHeight="1" x14ac:dyDescent="0.25">
      <c r="A307" s="1"/>
    </row>
    <row r="308" spans="1:2" ht="18.75" customHeight="1" x14ac:dyDescent="0.25">
      <c r="A308" s="1"/>
    </row>
    <row r="309" spans="1:2" ht="18.75" customHeight="1" x14ac:dyDescent="0.25">
      <c r="A309" s="1"/>
    </row>
    <row r="310" spans="1:2" ht="18.75" customHeight="1" x14ac:dyDescent="0.25">
      <c r="A310" s="1"/>
    </row>
    <row r="311" spans="1:2" ht="18.75" customHeight="1" x14ac:dyDescent="0.25">
      <c r="A311" s="1"/>
    </row>
    <row r="312" spans="1:2" ht="18.75" customHeight="1" x14ac:dyDescent="0.25">
      <c r="A312" s="1"/>
    </row>
    <row r="313" spans="1:2" ht="18.75" customHeight="1" x14ac:dyDescent="0.25">
      <c r="A313" s="1"/>
    </row>
    <row r="314" spans="1:2" ht="18.75" customHeight="1" x14ac:dyDescent="0.25">
      <c r="A314" s="1"/>
      <c r="B314" s="332" t="s">
        <v>672</v>
      </c>
    </row>
    <row r="315" spans="1:2" ht="18.75" customHeight="1" x14ac:dyDescent="0.25">
      <c r="A315" s="1"/>
    </row>
    <row r="316" spans="1:2" ht="18.75" customHeight="1" x14ac:dyDescent="0.25">
      <c r="A316" s="1"/>
    </row>
    <row r="317" spans="1:2" ht="18.75" customHeight="1" x14ac:dyDescent="0.25">
      <c r="A317" s="1"/>
    </row>
    <row r="318" spans="1:2" ht="18.75" customHeight="1" x14ac:dyDescent="0.25">
      <c r="A318" s="1"/>
    </row>
    <row r="319" spans="1:2" ht="18.75" customHeight="1" x14ac:dyDescent="0.25">
      <c r="A319" s="1"/>
    </row>
    <row r="320" spans="1:2" ht="18.75" customHeight="1" x14ac:dyDescent="0.25">
      <c r="A320" s="1"/>
    </row>
    <row r="321" spans="1:2" ht="18.75" customHeight="1" x14ac:dyDescent="0.25">
      <c r="A321" s="1"/>
    </row>
    <row r="322" spans="1:2" ht="18.75" customHeight="1" x14ac:dyDescent="0.25">
      <c r="A322" s="1"/>
    </row>
    <row r="323" spans="1:2" ht="18.75" customHeight="1" x14ac:dyDescent="0.25">
      <c r="A323" s="1"/>
    </row>
    <row r="324" spans="1:2" ht="18.75" customHeight="1" x14ac:dyDescent="0.25">
      <c r="A324" s="1"/>
    </row>
    <row r="325" spans="1:2" ht="18.75" customHeight="1" x14ac:dyDescent="0.25">
      <c r="A325" s="1"/>
    </row>
    <row r="326" spans="1:2" ht="18.75" customHeight="1" x14ac:dyDescent="0.25">
      <c r="A326" s="1"/>
    </row>
    <row r="327" spans="1:2" ht="18.75" customHeight="1" x14ac:dyDescent="0.25">
      <c r="A327" s="1"/>
    </row>
    <row r="328" spans="1:2" ht="18.75" customHeight="1" x14ac:dyDescent="0.25">
      <c r="A328" s="1"/>
    </row>
    <row r="329" spans="1:2" ht="18.75" customHeight="1" x14ac:dyDescent="0.25">
      <c r="A329" s="1"/>
    </row>
    <row r="330" spans="1:2" ht="18.75" customHeight="1" x14ac:dyDescent="0.25">
      <c r="A330" s="1"/>
      <c r="B330" s="332" t="s">
        <v>674</v>
      </c>
    </row>
    <row r="331" spans="1:2" ht="18.75" customHeight="1" x14ac:dyDescent="0.25">
      <c r="A331" s="1"/>
    </row>
    <row r="332" spans="1:2" ht="18.75" customHeight="1" x14ac:dyDescent="0.25">
      <c r="A332" s="1"/>
    </row>
    <row r="333" spans="1:2" ht="18.75" customHeight="1" x14ac:dyDescent="0.25">
      <c r="A333" s="1"/>
    </row>
    <row r="334" spans="1:2" ht="18.75" customHeight="1" x14ac:dyDescent="0.25">
      <c r="A334" s="1"/>
    </row>
    <row r="335" spans="1:2" ht="18.75" customHeight="1" x14ac:dyDescent="0.25">
      <c r="A335" s="1"/>
    </row>
    <row r="336" spans="1:2" ht="18.75" customHeight="1" x14ac:dyDescent="0.25">
      <c r="A336" s="1"/>
    </row>
    <row r="337" spans="1:8" ht="18.75" customHeight="1" x14ac:dyDescent="0.25">
      <c r="A337" s="1"/>
    </row>
    <row r="338" spans="1:8" ht="18.75" customHeight="1" x14ac:dyDescent="0.25">
      <c r="A338" s="1"/>
    </row>
    <row r="339" spans="1:8" ht="18.75" customHeight="1" x14ac:dyDescent="0.25">
      <c r="A339" s="1"/>
    </row>
    <row r="340" spans="1:8" ht="18.75" customHeight="1" x14ac:dyDescent="0.25">
      <c r="A340" s="1"/>
    </row>
    <row r="341" spans="1:8" ht="18.75" customHeight="1" x14ac:dyDescent="0.25">
      <c r="A341" s="1"/>
      <c r="B341" s="154" t="s">
        <v>676</v>
      </c>
      <c r="C341" s="168"/>
      <c r="D341" s="168"/>
      <c r="E341" s="168"/>
      <c r="F341" s="168"/>
      <c r="G341" s="421"/>
      <c r="H341" s="421"/>
    </row>
    <row r="342" spans="1:8" ht="18.75" customHeight="1" x14ac:dyDescent="0.25">
      <c r="A342" s="1"/>
      <c r="B342" s="633" t="s">
        <v>393</v>
      </c>
      <c r="C342" s="633"/>
      <c r="D342" s="633"/>
      <c r="E342" s="629" t="s">
        <v>390</v>
      </c>
      <c r="F342" s="629"/>
      <c r="G342" s="629"/>
      <c r="H342" s="629"/>
    </row>
    <row r="343" spans="1:8" ht="18.75" customHeight="1" x14ac:dyDescent="0.25">
      <c r="A343" s="1"/>
      <c r="B343" s="633" t="s">
        <v>392</v>
      </c>
      <c r="C343" s="633"/>
      <c r="D343" s="633"/>
      <c r="E343" s="654" t="s">
        <v>391</v>
      </c>
      <c r="F343" s="654"/>
      <c r="G343" s="516" t="s">
        <v>388</v>
      </c>
      <c r="H343" s="516" t="s">
        <v>389</v>
      </c>
    </row>
    <row r="344" spans="1:8" ht="18.75" customHeight="1" x14ac:dyDescent="0.25">
      <c r="A344" s="1"/>
      <c r="B344" s="169" t="s">
        <v>646</v>
      </c>
      <c r="C344" s="170">
        <f>Output!D177</f>
        <v>1.0880495369754974</v>
      </c>
      <c r="D344" s="171" t="s">
        <v>2</v>
      </c>
      <c r="E344" s="647">
        <f>Output!F177</f>
        <v>-14.020991816603312</v>
      </c>
      <c r="F344" s="647">
        <f>Output!G177</f>
        <v>0</v>
      </c>
      <c r="G344" s="518">
        <f>Output!H177</f>
        <v>-24</v>
      </c>
      <c r="H344" s="173" t="str">
        <f>Output!I177</f>
        <v>[ OK ]</v>
      </c>
    </row>
    <row r="345" spans="1:8" ht="18.75" customHeight="1" x14ac:dyDescent="0.25">
      <c r="A345" s="1"/>
      <c r="B345" s="169" t="s">
        <v>150</v>
      </c>
      <c r="C345" s="170">
        <f>Output!D178</f>
        <v>1.0119504630245026</v>
      </c>
      <c r="D345" s="171" t="s">
        <v>2</v>
      </c>
      <c r="E345" s="647">
        <f>Output!F178</f>
        <v>-12.372751413157271</v>
      </c>
      <c r="F345" s="647">
        <f>Output!G178</f>
        <v>0</v>
      </c>
      <c r="G345" s="518">
        <f>Output!H178</f>
        <v>-24</v>
      </c>
      <c r="H345" s="173" t="str">
        <f>Output!I178</f>
        <v>[ OK ]</v>
      </c>
    </row>
    <row r="346" spans="1:8" ht="18.75" customHeight="1" x14ac:dyDescent="0.25">
      <c r="A346" s="1"/>
      <c r="B346" s="633" t="s">
        <v>392</v>
      </c>
      <c r="C346" s="633"/>
      <c r="D346" s="633"/>
      <c r="E346" s="653" t="s">
        <v>394</v>
      </c>
      <c r="F346" s="653"/>
      <c r="G346" s="516" t="s">
        <v>388</v>
      </c>
      <c r="H346" s="516" t="s">
        <v>389</v>
      </c>
    </row>
    <row r="347" spans="1:8" ht="18.75" customHeight="1" x14ac:dyDescent="0.25">
      <c r="A347" s="1"/>
      <c r="B347" s="169" t="s">
        <v>646</v>
      </c>
      <c r="C347" s="170">
        <f>Output!D180</f>
        <v>1.0880495369754974</v>
      </c>
      <c r="D347" s="171" t="s">
        <v>2</v>
      </c>
      <c r="E347" s="641">
        <f>Output!F180</f>
        <v>-1.5193695500330178</v>
      </c>
      <c r="F347" s="641">
        <f>Output!G180</f>
        <v>0</v>
      </c>
      <c r="G347" s="515">
        <f>Output!H180</f>
        <v>-24</v>
      </c>
      <c r="H347" s="171" t="str">
        <f>Output!I180</f>
        <v>[ OK ]</v>
      </c>
    </row>
    <row r="348" spans="1:8" ht="18.75" customHeight="1" x14ac:dyDescent="0.25">
      <c r="A348" s="1"/>
      <c r="B348" s="169" t="s">
        <v>150</v>
      </c>
      <c r="C348" s="170">
        <f>Output!D181</f>
        <v>1.0119504630245026</v>
      </c>
      <c r="D348" s="171" t="s">
        <v>2</v>
      </c>
      <c r="E348" s="641">
        <f>Output!F181</f>
        <v>-24.000000000000007</v>
      </c>
      <c r="F348" s="641">
        <f>Output!G181</f>
        <v>0</v>
      </c>
      <c r="G348" s="515">
        <f>Output!H181</f>
        <v>-24</v>
      </c>
      <c r="H348" s="171" t="str">
        <f>Output!I181</f>
        <v>[ OK ]</v>
      </c>
    </row>
    <row r="349" spans="1:8" ht="18.75" customHeight="1" x14ac:dyDescent="0.25">
      <c r="A349" s="1"/>
    </row>
    <row r="350" spans="1:8" ht="18.75" customHeight="1" x14ac:dyDescent="0.25">
      <c r="A350" s="1"/>
      <c r="B350" s="633" t="s">
        <v>393</v>
      </c>
      <c r="C350" s="633"/>
      <c r="D350" s="633"/>
      <c r="E350" s="629" t="s">
        <v>395</v>
      </c>
      <c r="F350" s="629"/>
      <c r="G350" s="629"/>
      <c r="H350" s="629"/>
    </row>
    <row r="351" spans="1:8" ht="18.75" customHeight="1" x14ac:dyDescent="0.25">
      <c r="A351" s="1"/>
      <c r="B351" s="633" t="s">
        <v>392</v>
      </c>
      <c r="C351" s="633"/>
      <c r="D351" s="633"/>
      <c r="E351" s="654" t="s">
        <v>391</v>
      </c>
      <c r="F351" s="654"/>
      <c r="G351" s="516" t="s">
        <v>388</v>
      </c>
      <c r="H351" s="516" t="s">
        <v>389</v>
      </c>
    </row>
    <row r="352" spans="1:8" ht="18.75" customHeight="1" x14ac:dyDescent="0.25">
      <c r="A352" s="1"/>
      <c r="B352" s="169" t="s">
        <v>646</v>
      </c>
      <c r="C352" s="170">
        <f>Output!D185</f>
        <v>1.0880495369754974</v>
      </c>
      <c r="D352" s="171" t="s">
        <v>2</v>
      </c>
      <c r="E352" s="647">
        <f>Output!F185</f>
        <v>-10.728429667678991</v>
      </c>
      <c r="F352" s="647">
        <f>Output!G185</f>
        <v>0</v>
      </c>
      <c r="G352" s="518">
        <f>Output!H185</f>
        <v>-22.5</v>
      </c>
      <c r="H352" s="173" t="str">
        <f>Output!I185</f>
        <v>[ OK ]</v>
      </c>
    </row>
    <row r="353" spans="1:8" ht="18.75" customHeight="1" x14ac:dyDescent="0.25">
      <c r="A353" s="1"/>
      <c r="B353" s="169" t="s">
        <v>150</v>
      </c>
      <c r="C353" s="170">
        <f>Output!D186</f>
        <v>1.0119504630245026</v>
      </c>
      <c r="D353" s="171" t="s">
        <v>2</v>
      </c>
      <c r="E353" s="647">
        <f>Output!F186</f>
        <v>-9.467247044146049</v>
      </c>
      <c r="F353" s="647">
        <f>Output!G186</f>
        <v>0</v>
      </c>
      <c r="G353" s="518">
        <f>Output!H186</f>
        <v>-22.5</v>
      </c>
      <c r="H353" s="173" t="str">
        <f>Output!I186</f>
        <v>[ OK ]</v>
      </c>
    </row>
    <row r="354" spans="1:8" ht="18.75" customHeight="1" x14ac:dyDescent="0.25">
      <c r="A354" s="1"/>
      <c r="B354" s="633" t="s">
        <v>392</v>
      </c>
      <c r="C354" s="633"/>
      <c r="D354" s="633"/>
      <c r="E354" s="653" t="s">
        <v>394</v>
      </c>
      <c r="F354" s="653"/>
      <c r="G354" s="516" t="s">
        <v>388</v>
      </c>
      <c r="H354" s="516" t="s">
        <v>389</v>
      </c>
    </row>
    <row r="355" spans="1:8" ht="18.75" customHeight="1" x14ac:dyDescent="0.25">
      <c r="A355" s="1"/>
      <c r="B355" s="169" t="s">
        <v>646</v>
      </c>
      <c r="C355" s="170">
        <f>Output!D188</f>
        <v>1.0880495369754974</v>
      </c>
      <c r="D355" s="171" t="s">
        <v>2</v>
      </c>
      <c r="E355" s="641">
        <f>Output!F188</f>
        <v>-3.3912583082419423</v>
      </c>
      <c r="F355" s="641">
        <f>Output!G188</f>
        <v>0</v>
      </c>
      <c r="G355" s="515">
        <f>Output!H188</f>
        <v>-22.5</v>
      </c>
      <c r="H355" s="171" t="str">
        <f>Output!I188</f>
        <v>[ OK ]</v>
      </c>
    </row>
    <row r="356" spans="1:8" ht="18.75" customHeight="1" x14ac:dyDescent="0.25">
      <c r="A356" s="1"/>
      <c r="B356" s="169" t="s">
        <v>150</v>
      </c>
      <c r="C356" s="170">
        <f>Output!D189</f>
        <v>1.0119504630245026</v>
      </c>
      <c r="D356" s="171" t="s">
        <v>2</v>
      </c>
      <c r="E356" s="641">
        <f>Output!F189</f>
        <v>-16.29125064154811</v>
      </c>
      <c r="F356" s="641">
        <f>Output!G189</f>
        <v>0</v>
      </c>
      <c r="G356" s="515">
        <f>Output!H189</f>
        <v>-22.5</v>
      </c>
      <c r="H356" s="171" t="str">
        <f>Output!I189</f>
        <v>[ OK ]</v>
      </c>
    </row>
    <row r="357" spans="1:8" ht="18.75" customHeight="1" x14ac:dyDescent="0.25">
      <c r="A357" s="1"/>
    </row>
    <row r="358" spans="1:8" ht="18.75" customHeight="1" x14ac:dyDescent="0.25">
      <c r="A358" s="1"/>
      <c r="B358" s="633" t="s">
        <v>393</v>
      </c>
      <c r="C358" s="633"/>
      <c r="D358" s="633"/>
      <c r="E358" s="629" t="s">
        <v>396</v>
      </c>
      <c r="F358" s="629"/>
      <c r="G358" s="629"/>
      <c r="H358" s="629"/>
    </row>
    <row r="359" spans="1:8" ht="18.75" customHeight="1" x14ac:dyDescent="0.25">
      <c r="A359" s="1"/>
      <c r="B359" s="633" t="s">
        <v>392</v>
      </c>
      <c r="C359" s="633"/>
      <c r="D359" s="633"/>
      <c r="E359" s="654" t="s">
        <v>391</v>
      </c>
      <c r="F359" s="654"/>
      <c r="G359" s="516" t="s">
        <v>388</v>
      </c>
      <c r="H359" s="516" t="s">
        <v>389</v>
      </c>
    </row>
    <row r="360" spans="1:8" ht="18.75" customHeight="1" x14ac:dyDescent="0.25">
      <c r="A360" s="1"/>
      <c r="B360" s="169" t="s">
        <v>646</v>
      </c>
      <c r="C360" s="170">
        <f>Output!D193</f>
        <v>1.0880495369754974</v>
      </c>
      <c r="D360" s="171" t="s">
        <v>2</v>
      </c>
      <c r="E360" s="647">
        <f>Output!F193</f>
        <v>-10.728429667678991</v>
      </c>
      <c r="F360" s="647">
        <f>Output!G193</f>
        <v>0</v>
      </c>
      <c r="G360" s="518">
        <f>Output!H193</f>
        <v>-22.5</v>
      </c>
      <c r="H360" s="173" t="str">
        <f>Output!I193</f>
        <v>[ OK ]</v>
      </c>
    </row>
    <row r="361" spans="1:8" ht="18.75" customHeight="1" x14ac:dyDescent="0.25">
      <c r="A361" s="1"/>
      <c r="B361" s="169" t="s">
        <v>150</v>
      </c>
      <c r="C361" s="170">
        <f>Output!D194</f>
        <v>1.0119504630245026</v>
      </c>
      <c r="D361" s="171" t="s">
        <v>2</v>
      </c>
      <c r="E361" s="647">
        <f>Output!F194</f>
        <v>-9.467247044146049</v>
      </c>
      <c r="F361" s="647">
        <f>Output!G194</f>
        <v>0</v>
      </c>
      <c r="G361" s="518">
        <f>Output!H194</f>
        <v>-22.5</v>
      </c>
      <c r="H361" s="173" t="str">
        <f>Output!I194</f>
        <v>[ OK ]</v>
      </c>
    </row>
    <row r="362" spans="1:8" ht="18.75" customHeight="1" x14ac:dyDescent="0.25">
      <c r="A362" s="1"/>
      <c r="B362" s="633" t="s">
        <v>392</v>
      </c>
      <c r="C362" s="633"/>
      <c r="D362" s="633"/>
      <c r="E362" s="653" t="s">
        <v>394</v>
      </c>
      <c r="F362" s="653"/>
      <c r="G362" s="516" t="s">
        <v>388</v>
      </c>
      <c r="H362" s="516" t="s">
        <v>389</v>
      </c>
    </row>
    <row r="363" spans="1:8" ht="18.75" customHeight="1" x14ac:dyDescent="0.25">
      <c r="A363" s="1"/>
      <c r="B363" s="169" t="s">
        <v>646</v>
      </c>
      <c r="C363" s="170">
        <f>Output!D196</f>
        <v>1.0880495369754974</v>
      </c>
      <c r="D363" s="171" t="s">
        <v>2</v>
      </c>
      <c r="E363" s="641">
        <f>Output!F196</f>
        <v>-10.766239830306631</v>
      </c>
      <c r="F363" s="641">
        <f>Output!G196</f>
        <v>0</v>
      </c>
      <c r="G363" s="515">
        <f>Output!H196</f>
        <v>-22.5</v>
      </c>
      <c r="H363" s="171" t="str">
        <f>Output!I196</f>
        <v>[ OK ]</v>
      </c>
    </row>
    <row r="364" spans="1:8" ht="18.75" customHeight="1" x14ac:dyDescent="0.25">
      <c r="A364" s="1"/>
      <c r="B364" s="169" t="s">
        <v>150</v>
      </c>
      <c r="C364" s="170">
        <f>Output!D197</f>
        <v>1.0119504630245026</v>
      </c>
      <c r="D364" s="171" t="s">
        <v>2</v>
      </c>
      <c r="E364" s="641">
        <f>Output!F197</f>
        <v>-9.4320813551973366</v>
      </c>
      <c r="F364" s="641">
        <f>Output!G197</f>
        <v>0</v>
      </c>
      <c r="G364" s="515">
        <f>Output!H197</f>
        <v>-22.5</v>
      </c>
      <c r="H364" s="171" t="str">
        <f>Output!I197</f>
        <v>[ OK ]</v>
      </c>
    </row>
    <row r="365" spans="1:8" ht="18.75" customHeight="1" x14ac:dyDescent="0.25">
      <c r="A365" s="1"/>
    </row>
    <row r="366" spans="1:8" ht="18.75" customHeight="1" x14ac:dyDescent="0.25">
      <c r="A366" s="1"/>
    </row>
    <row r="367" spans="1:8" ht="18.75" customHeight="1" x14ac:dyDescent="0.25">
      <c r="A367" s="1"/>
      <c r="B367" s="633" t="s">
        <v>393</v>
      </c>
      <c r="C367" s="633"/>
      <c r="D367" s="633"/>
      <c r="E367" s="633" t="s">
        <v>1141</v>
      </c>
      <c r="F367" s="633"/>
      <c r="G367" s="633"/>
      <c r="H367" s="633"/>
    </row>
    <row r="368" spans="1:8" ht="18.75" customHeight="1" x14ac:dyDescent="0.25">
      <c r="A368" s="1"/>
      <c r="B368" s="633" t="s">
        <v>392</v>
      </c>
      <c r="C368" s="633"/>
      <c r="D368" s="633"/>
      <c r="E368" s="654" t="s">
        <v>391</v>
      </c>
      <c r="F368" s="654"/>
      <c r="G368" s="516" t="s">
        <v>388</v>
      </c>
      <c r="H368" s="516" t="s">
        <v>389</v>
      </c>
    </row>
    <row r="369" spans="1:9" ht="18.75" customHeight="1" x14ac:dyDescent="0.25">
      <c r="A369" s="1"/>
      <c r="B369" s="169" t="s">
        <v>646</v>
      </c>
      <c r="C369" s="170">
        <f>Output!D201</f>
        <v>0.97017846692262921</v>
      </c>
      <c r="D369" s="171" t="s">
        <v>2</v>
      </c>
      <c r="E369" s="643" t="s">
        <v>845</v>
      </c>
      <c r="F369" s="643"/>
      <c r="G369" s="517" t="s">
        <v>845</v>
      </c>
      <c r="H369" s="517" t="s">
        <v>845</v>
      </c>
    </row>
    <row r="370" spans="1:9" ht="18.75" customHeight="1" x14ac:dyDescent="0.25">
      <c r="A370" s="1"/>
      <c r="B370" s="169" t="s">
        <v>397</v>
      </c>
      <c r="C370" s="170">
        <f>Output!D202</f>
        <v>0.72017846692262921</v>
      </c>
      <c r="D370" s="171" t="s">
        <v>2</v>
      </c>
      <c r="E370" s="643" t="s">
        <v>845</v>
      </c>
      <c r="F370" s="643"/>
      <c r="G370" s="517" t="s">
        <v>845</v>
      </c>
      <c r="H370" s="517" t="s">
        <v>845</v>
      </c>
    </row>
    <row r="371" spans="1:9" ht="18.75" customHeight="1" x14ac:dyDescent="0.25">
      <c r="A371" s="1"/>
      <c r="B371" s="169" t="s">
        <v>397</v>
      </c>
      <c r="C371" s="170">
        <f>Output!D203</f>
        <v>0.72017846692262921</v>
      </c>
      <c r="D371" s="171" t="s">
        <v>2</v>
      </c>
      <c r="E371" s="643" t="s">
        <v>845</v>
      </c>
      <c r="F371" s="643"/>
      <c r="G371" s="517" t="s">
        <v>845</v>
      </c>
      <c r="H371" s="517" t="s">
        <v>845</v>
      </c>
    </row>
    <row r="372" spans="1:9" ht="18.75" customHeight="1" x14ac:dyDescent="0.25">
      <c r="A372" s="1"/>
      <c r="B372" s="169" t="s">
        <v>150</v>
      </c>
      <c r="C372" s="170">
        <f>Output!D204</f>
        <v>1.3798215330773709</v>
      </c>
      <c r="D372" s="171" t="s">
        <v>2</v>
      </c>
      <c r="E372" s="643" t="s">
        <v>845</v>
      </c>
      <c r="F372" s="643"/>
      <c r="G372" s="517" t="s">
        <v>845</v>
      </c>
      <c r="H372" s="517" t="s">
        <v>845</v>
      </c>
    </row>
    <row r="373" spans="1:9" ht="18.75" customHeight="1" x14ac:dyDescent="0.25">
      <c r="A373" s="1"/>
      <c r="B373" s="633" t="s">
        <v>392</v>
      </c>
      <c r="C373" s="633"/>
      <c r="D373" s="633"/>
      <c r="E373" s="653" t="s">
        <v>394</v>
      </c>
      <c r="F373" s="653"/>
      <c r="G373" s="516" t="s">
        <v>388</v>
      </c>
      <c r="H373" s="516" t="s">
        <v>389</v>
      </c>
    </row>
    <row r="374" spans="1:9" ht="18.75" customHeight="1" x14ac:dyDescent="0.25">
      <c r="A374" s="1"/>
      <c r="B374" s="169" t="s">
        <v>646</v>
      </c>
      <c r="C374" s="170">
        <f>Output!D206</f>
        <v>0.97017846692262921</v>
      </c>
      <c r="D374" s="171" t="s">
        <v>2</v>
      </c>
      <c r="E374" s="641">
        <f>Output!F206</f>
        <v>-3.9687373026375385</v>
      </c>
      <c r="F374" s="641">
        <f>Output!G206</f>
        <v>0</v>
      </c>
      <c r="G374" s="515">
        <f>Output!H206</f>
        <v>-13.05</v>
      </c>
      <c r="H374" s="171" t="str">
        <f>Output!I206</f>
        <v>[ OK ]</v>
      </c>
    </row>
    <row r="375" spans="1:9" ht="18.75" customHeight="1" x14ac:dyDescent="0.25">
      <c r="A375" s="1"/>
      <c r="B375" s="169" t="s">
        <v>397</v>
      </c>
      <c r="C375" s="170">
        <f>Output!D207</f>
        <v>0.72017846692262921</v>
      </c>
      <c r="D375" s="171" t="s">
        <v>2</v>
      </c>
      <c r="E375" s="641">
        <f>Output!F207</f>
        <v>-2.9460550235651564</v>
      </c>
      <c r="F375" s="641">
        <f>Output!G207</f>
        <v>0</v>
      </c>
      <c r="G375" s="515">
        <f>Output!H207</f>
        <v>-13.05</v>
      </c>
      <c r="H375" s="171" t="str">
        <f>Output!I207</f>
        <v>[ OK ]</v>
      </c>
    </row>
    <row r="376" spans="1:9" ht="18.75" customHeight="1" x14ac:dyDescent="0.25">
      <c r="A376" s="1"/>
      <c r="B376" s="169" t="s">
        <v>397</v>
      </c>
      <c r="C376" s="170">
        <f>Output!D208</f>
        <v>0.72017846692262921</v>
      </c>
      <c r="D376" s="171" t="s">
        <v>2</v>
      </c>
      <c r="E376" s="641">
        <f>Output!F208</f>
        <v>-14.927398893749373</v>
      </c>
      <c r="F376" s="641">
        <f>Output!G208</f>
        <v>0</v>
      </c>
      <c r="G376" s="515">
        <f>Output!H208</f>
        <v>-22.5</v>
      </c>
      <c r="H376" s="171" t="str">
        <f>Output!I208</f>
        <v>[ OK ]</v>
      </c>
    </row>
    <row r="377" spans="1:9" ht="18.75" customHeight="1" x14ac:dyDescent="0.25">
      <c r="A377" s="1"/>
      <c r="B377" s="169" t="s">
        <v>150</v>
      </c>
      <c r="C377" s="170">
        <f>Output!D209</f>
        <v>1.3798215330773709</v>
      </c>
      <c r="D377" s="171" t="s">
        <v>2</v>
      </c>
      <c r="E377" s="641">
        <f>Output!F209</f>
        <v>-1.4595340741978857</v>
      </c>
      <c r="F377" s="641">
        <f>Output!G209</f>
        <v>0</v>
      </c>
      <c r="G377" s="515">
        <f>Output!H209</f>
        <v>-22.5</v>
      </c>
      <c r="H377" s="171" t="str">
        <f>Output!I209</f>
        <v>[ OK ]</v>
      </c>
    </row>
    <row r="378" spans="1:9" ht="18.75" customHeight="1" x14ac:dyDescent="0.25">
      <c r="A378" s="1"/>
    </row>
    <row r="379" spans="1:9" ht="18.75" customHeight="1" x14ac:dyDescent="0.25">
      <c r="A379" s="1"/>
      <c r="B379" s="561"/>
      <c r="C379" s="562" t="s">
        <v>1269</v>
      </c>
      <c r="E379" s="560"/>
      <c r="F379" s="562" t="s">
        <v>1270</v>
      </c>
    </row>
    <row r="380" spans="1:9" ht="18.75" customHeight="1" x14ac:dyDescent="0.25">
      <c r="A380" s="1"/>
    </row>
    <row r="381" spans="1:9" ht="18.75" customHeight="1" x14ac:dyDescent="0.25">
      <c r="A381" s="1"/>
    </row>
    <row r="382" spans="1:9" ht="18.75" customHeight="1" x14ac:dyDescent="0.25">
      <c r="A382" s="582" t="s">
        <v>1306</v>
      </c>
      <c r="B382" s="583" t="s">
        <v>1296</v>
      </c>
      <c r="C382" s="584"/>
      <c r="D382" s="584"/>
      <c r="E382" s="584"/>
      <c r="F382" s="584"/>
      <c r="G382" s="585"/>
      <c r="H382" s="586"/>
      <c r="I382" s="587"/>
    </row>
    <row r="383" spans="1:9" ht="18.75" customHeight="1" x14ac:dyDescent="0.25">
      <c r="A383" s="1"/>
      <c r="B383" s="87" t="s">
        <v>1297</v>
      </c>
    </row>
    <row r="384" spans="1:9" ht="18.75" customHeight="1" x14ac:dyDescent="0.25">
      <c r="A384" s="1"/>
      <c r="B384" s="528" t="s">
        <v>531</v>
      </c>
      <c r="C384" s="89"/>
      <c r="D384" s="89"/>
      <c r="E384" s="89"/>
      <c r="F384" s="89"/>
      <c r="G384" s="89"/>
      <c r="H384" s="89"/>
      <c r="I384" s="128"/>
    </row>
    <row r="385" spans="1:9" ht="18.75" customHeight="1" x14ac:dyDescent="0.25">
      <c r="A385" s="1"/>
      <c r="B385" s="89" t="s">
        <v>465</v>
      </c>
      <c r="C385" s="89"/>
      <c r="D385" s="89"/>
      <c r="E385" s="89"/>
      <c r="F385" s="89"/>
    </row>
    <row r="386" spans="1:9" ht="18.75" customHeight="1" x14ac:dyDescent="0.25">
      <c r="A386" s="1"/>
      <c r="B386" s="89"/>
      <c r="C386" s="89"/>
      <c r="D386" s="89"/>
      <c r="E386" s="89"/>
      <c r="F386" s="89"/>
      <c r="G386" s="136" t="s">
        <v>832</v>
      </c>
      <c r="H386" s="140">
        <f>Output!I218</f>
        <v>42.45806951588807</v>
      </c>
      <c r="I386" s="143" t="s">
        <v>5</v>
      </c>
    </row>
    <row r="387" spans="1:9" ht="18.75" customHeight="1" x14ac:dyDescent="0.25">
      <c r="A387" s="1"/>
      <c r="B387" s="133" t="s">
        <v>429</v>
      </c>
      <c r="C387" s="127" t="s">
        <v>430</v>
      </c>
      <c r="D387" s="128" t="s">
        <v>362</v>
      </c>
      <c r="E387" s="128" t="s">
        <v>431</v>
      </c>
      <c r="F387" s="89"/>
      <c r="G387" s="133"/>
      <c r="H387" s="134"/>
      <c r="I387" s="142"/>
    </row>
    <row r="388" spans="1:9" ht="18.75" customHeight="1" x14ac:dyDescent="0.25">
      <c r="A388" s="1"/>
      <c r="B388" s="133"/>
      <c r="C388" s="137">
        <f>Output!D220</f>
        <v>42.45806951588807</v>
      </c>
      <c r="D388" s="130" t="str">
        <f>IF(C388&lt;E388,"&lt;","&gt;")</f>
        <v>&lt;</v>
      </c>
      <c r="E388" s="137">
        <f>Output!F220</f>
        <v>133.33333333333334</v>
      </c>
      <c r="F388" s="89"/>
      <c r="G388" s="131" t="s">
        <v>363</v>
      </c>
      <c r="H388" s="132" t="str">
        <f>IF(C388&lt;E388,"[ OK ]","[ NOT OK ]")</f>
        <v>[ OK ]</v>
      </c>
      <c r="I388" s="142"/>
    </row>
    <row r="389" spans="1:9" ht="18.75" customHeight="1" x14ac:dyDescent="0.25">
      <c r="A389" s="1"/>
      <c r="B389" s="89"/>
      <c r="C389" s="89"/>
      <c r="D389" s="89"/>
      <c r="E389" s="89"/>
      <c r="F389" s="89"/>
      <c r="G389" s="89"/>
      <c r="H389" s="128"/>
      <c r="I389" s="143"/>
    </row>
    <row r="390" spans="1:9" ht="18.75" customHeight="1" x14ac:dyDescent="0.25">
      <c r="A390" s="1"/>
      <c r="B390" s="89" t="s">
        <v>473</v>
      </c>
      <c r="C390" s="89"/>
      <c r="D390" s="89"/>
      <c r="E390" s="89"/>
      <c r="F390" s="89"/>
      <c r="G390" s="89" t="s">
        <v>474</v>
      </c>
      <c r="H390" s="25">
        <f>Output!I222</f>
        <v>39.59364588754714</v>
      </c>
      <c r="I390" s="143" t="s">
        <v>5</v>
      </c>
    </row>
    <row r="391" spans="1:9" ht="18.75" customHeight="1" x14ac:dyDescent="0.25">
      <c r="A391" s="1"/>
      <c r="B391" s="133" t="s">
        <v>429</v>
      </c>
      <c r="C391" s="127" t="s">
        <v>430</v>
      </c>
      <c r="D391" s="128" t="s">
        <v>362</v>
      </c>
      <c r="E391" s="128" t="s">
        <v>431</v>
      </c>
      <c r="F391" s="89"/>
      <c r="G391" s="133"/>
      <c r="H391" s="134"/>
      <c r="I391" s="143"/>
    </row>
    <row r="392" spans="1:9" ht="18.75" customHeight="1" x14ac:dyDescent="0.25">
      <c r="A392" s="1"/>
      <c r="B392" s="133"/>
      <c r="C392" s="137">
        <f>Output!D224</f>
        <v>39.59364588754714</v>
      </c>
      <c r="D392" s="130" t="str">
        <f>IF(C392&lt;E392,"&lt;","&gt;")</f>
        <v>&lt;</v>
      </c>
      <c r="E392" s="137">
        <f>Output!F224</f>
        <v>133.33333333333334</v>
      </c>
      <c r="F392" s="89"/>
      <c r="G392" s="131" t="s">
        <v>363</v>
      </c>
      <c r="H392" s="132" t="str">
        <f>IF(C392&lt;E392,"[ OK ]","[ NOT OK ]")</f>
        <v>[ OK ]</v>
      </c>
      <c r="I392" s="143"/>
    </row>
    <row r="393" spans="1:9" ht="18.75" customHeight="1" x14ac:dyDescent="0.25">
      <c r="A393" s="1"/>
      <c r="B393" s="89"/>
      <c r="C393" s="89"/>
      <c r="D393" s="89"/>
      <c r="E393" s="89"/>
      <c r="F393" s="89"/>
      <c r="G393" s="89"/>
      <c r="H393" s="128"/>
      <c r="I393" s="143"/>
    </row>
    <row r="394" spans="1:9" ht="18.75" customHeight="1" x14ac:dyDescent="0.25">
      <c r="A394" s="1"/>
      <c r="B394" s="528" t="s">
        <v>916</v>
      </c>
      <c r="C394" s="89"/>
      <c r="D394" s="89"/>
      <c r="E394" s="89"/>
      <c r="F394" s="89"/>
      <c r="G394" s="89"/>
      <c r="H394" s="128"/>
      <c r="I394" s="143"/>
    </row>
    <row r="395" spans="1:9" ht="18.75" customHeight="1" x14ac:dyDescent="0.25">
      <c r="A395" s="1"/>
      <c r="B395" s="89" t="s">
        <v>919</v>
      </c>
      <c r="C395" s="89"/>
      <c r="D395" s="89"/>
      <c r="E395" s="89"/>
      <c r="F395" s="89"/>
      <c r="G395" s="136" t="s">
        <v>918</v>
      </c>
      <c r="H395" s="140">
        <f>Output!I227</f>
        <v>27.916730734364126</v>
      </c>
      <c r="I395" s="143" t="s">
        <v>5</v>
      </c>
    </row>
    <row r="396" spans="1:9" ht="18.75" customHeight="1" x14ac:dyDescent="0.25">
      <c r="A396" s="1"/>
      <c r="B396" s="133" t="s">
        <v>429</v>
      </c>
      <c r="C396" s="127" t="s">
        <v>430</v>
      </c>
      <c r="D396" s="128" t="s">
        <v>362</v>
      </c>
      <c r="E396" s="128" t="s">
        <v>917</v>
      </c>
      <c r="F396" s="89"/>
      <c r="G396" s="133"/>
      <c r="H396" s="134"/>
      <c r="I396" s="142"/>
    </row>
    <row r="397" spans="1:9" ht="18.75" customHeight="1" x14ac:dyDescent="0.25">
      <c r="A397" s="1"/>
      <c r="B397" s="133"/>
      <c r="C397" s="137">
        <f>Output!D229</f>
        <v>27.916730734364126</v>
      </c>
      <c r="D397" s="130" t="str">
        <f>IF(C397&lt;E397,"&lt;","&gt;")</f>
        <v>&lt;</v>
      </c>
      <c r="E397" s="137">
        <f>Output!F229</f>
        <v>50</v>
      </c>
      <c r="F397" s="89"/>
      <c r="G397" s="131" t="s">
        <v>363</v>
      </c>
      <c r="H397" s="132" t="str">
        <f>IF(C397&lt;E397,"[ OK ]","[ NOT OK ]")</f>
        <v>[ OK ]</v>
      </c>
      <c r="I397" s="142"/>
    </row>
    <row r="398" spans="1:9" ht="18.75" customHeight="1" x14ac:dyDescent="0.25">
      <c r="A398" s="1"/>
      <c r="B398" s="87"/>
    </row>
    <row r="399" spans="1:9" ht="18.75" customHeight="1" x14ac:dyDescent="0.25">
      <c r="A399" s="1"/>
      <c r="B399" s="87" t="s">
        <v>1298</v>
      </c>
    </row>
    <row r="400" spans="1:9" ht="18.75" customHeight="1" x14ac:dyDescent="0.25">
      <c r="A400" s="1"/>
      <c r="B400" s="1" t="s">
        <v>968</v>
      </c>
      <c r="I400" s="28"/>
    </row>
    <row r="401" spans="1:10" ht="18.75" customHeight="1" x14ac:dyDescent="0.25">
      <c r="A401" s="1"/>
      <c r="B401" s="8" t="s">
        <v>361</v>
      </c>
      <c r="C401" s="520" t="s">
        <v>840</v>
      </c>
      <c r="D401" s="16" t="s">
        <v>362</v>
      </c>
      <c r="E401" s="16" t="s">
        <v>841</v>
      </c>
      <c r="F401" s="11"/>
      <c r="G401" s="89"/>
      <c r="I401" s="28"/>
    </row>
    <row r="402" spans="1:10" ht="18.75" customHeight="1" x14ac:dyDescent="0.25">
      <c r="A402" s="1"/>
      <c r="B402" s="8"/>
      <c r="C402" s="512">
        <f>Output!D234</f>
        <v>11768.908605248413</v>
      </c>
      <c r="D402" s="520" t="str">
        <f>IF(C402&lt;E402,"&lt;","&gt;")</f>
        <v>&lt;</v>
      </c>
      <c r="E402" s="512">
        <f>Output!F234</f>
        <v>20980.052132798355</v>
      </c>
      <c r="G402" s="192" t="s">
        <v>363</v>
      </c>
      <c r="H402" s="519" t="str">
        <f>IF(C402&lt;E402,"[ OK ]","[NOT OK]")</f>
        <v>[ OK ]</v>
      </c>
      <c r="J402" s="28"/>
    </row>
    <row r="403" spans="1:10" ht="18.75" customHeight="1" x14ac:dyDescent="0.25">
      <c r="A403" s="1"/>
    </row>
    <row r="404" spans="1:10" ht="18.75" customHeight="1" x14ac:dyDescent="0.25">
      <c r="A404" s="1"/>
      <c r="B404" s="353" t="s">
        <v>970</v>
      </c>
      <c r="C404" s="202"/>
      <c r="D404" s="202"/>
      <c r="E404" s="202"/>
      <c r="F404" s="303"/>
      <c r="G404" s="357"/>
      <c r="H404" s="8"/>
    </row>
    <row r="405" spans="1:10" ht="18.75" customHeight="1" x14ac:dyDescent="0.25">
      <c r="A405" s="1"/>
      <c r="B405" s="353"/>
      <c r="C405" s="357" t="s">
        <v>969</v>
      </c>
      <c r="D405" s="202"/>
      <c r="E405" s="357" t="s">
        <v>979</v>
      </c>
      <c r="F405" s="303"/>
      <c r="G405" s="357"/>
    </row>
    <row r="406" spans="1:10" ht="18.75" customHeight="1" x14ac:dyDescent="0.25">
      <c r="A406" s="1"/>
      <c r="B406" s="202"/>
      <c r="C406" s="358">
        <f>Output!D238</f>
        <v>2.1407584437739789E-2</v>
      </c>
      <c r="D406" s="357" t="str">
        <f>IF(C406&lt;E406,"&lt;","&gt;")</f>
        <v>&gt;</v>
      </c>
      <c r="E406" s="358">
        <f>Output!F238</f>
        <v>8.1865284974093257E-3</v>
      </c>
      <c r="G406" s="192" t="s">
        <v>363</v>
      </c>
      <c r="H406" s="519" t="str">
        <f>IF(C406&gt;E406,"[ OK ]","[NOT OK]")</f>
        <v>[ OK ]</v>
      </c>
    </row>
    <row r="407" spans="1:10" ht="18.75" customHeight="1" x14ac:dyDescent="0.25">
      <c r="A407" s="1"/>
    </row>
    <row r="408" spans="1:10" ht="18.75" customHeight="1" x14ac:dyDescent="0.25">
      <c r="A408" s="582" t="s">
        <v>1307</v>
      </c>
      <c r="B408" s="583" t="s">
        <v>1300</v>
      </c>
      <c r="C408" s="584"/>
      <c r="D408" s="584"/>
      <c r="E408" s="584"/>
      <c r="F408" s="584"/>
      <c r="G408" s="585"/>
      <c r="H408" s="586"/>
      <c r="I408" s="587"/>
    </row>
    <row r="409" spans="1:10" ht="18.75" customHeight="1" x14ac:dyDescent="0.25">
      <c r="A409" s="1"/>
    </row>
    <row r="410" spans="1:10" ht="18.75" customHeight="1" x14ac:dyDescent="0.25">
      <c r="A410" s="1"/>
      <c r="B410" s="514"/>
      <c r="C410" s="514" t="s">
        <v>1302</v>
      </c>
      <c r="D410" s="514" t="s">
        <v>1301</v>
      </c>
      <c r="E410" s="514" t="s">
        <v>1186</v>
      </c>
      <c r="F410" s="447" t="s">
        <v>1214</v>
      </c>
      <c r="G410" s="640" t="s">
        <v>1215</v>
      </c>
      <c r="H410" s="640"/>
    </row>
    <row r="411" spans="1:10" ht="18.75" customHeight="1" x14ac:dyDescent="0.25">
      <c r="A411" s="1"/>
      <c r="B411" s="514"/>
      <c r="C411" s="514" t="s">
        <v>5</v>
      </c>
      <c r="D411" s="514" t="s">
        <v>5</v>
      </c>
      <c r="E411" s="514" t="s">
        <v>40</v>
      </c>
      <c r="F411" s="514" t="s">
        <v>40</v>
      </c>
      <c r="G411" s="454" t="s">
        <v>1189</v>
      </c>
      <c r="H411" s="454" t="s">
        <v>1190</v>
      </c>
    </row>
    <row r="412" spans="1:10" ht="18.75" customHeight="1" x14ac:dyDescent="0.25">
      <c r="A412" s="1"/>
      <c r="B412" s="196">
        <f>Output!C245</f>
        <v>0</v>
      </c>
      <c r="C412" s="451">
        <f>Output!D245</f>
        <v>13</v>
      </c>
      <c r="D412" s="451">
        <f>Output!E245</f>
        <v>200</v>
      </c>
      <c r="E412" s="6">
        <f>Output!F245</f>
        <v>1033.2856000000002</v>
      </c>
      <c r="F412" s="512">
        <f>Output!G245</f>
        <v>1359.2089097543605</v>
      </c>
      <c r="G412" s="512">
        <f>Output!H245</f>
        <v>1.3154242251652015</v>
      </c>
      <c r="H412" s="207" t="str">
        <f>Output!I245</f>
        <v>[ OK ]</v>
      </c>
    </row>
    <row r="413" spans="1:10" ht="18.75" customHeight="1" x14ac:dyDescent="0.25">
      <c r="A413" s="1"/>
      <c r="B413" s="196">
        <f>Output!C246</f>
        <v>1</v>
      </c>
      <c r="C413" s="451">
        <f>Output!D246</f>
        <v>13</v>
      </c>
      <c r="D413" s="451">
        <f>Output!E246</f>
        <v>200</v>
      </c>
      <c r="E413" s="6">
        <f>Output!F246</f>
        <v>981.6213200000002</v>
      </c>
      <c r="F413" s="512">
        <f>Output!G246</f>
        <v>1900.9901213739759</v>
      </c>
      <c r="G413" s="512">
        <f>Output!H246</f>
        <v>1.9365819411644152</v>
      </c>
      <c r="H413" s="207" t="str">
        <f>Output!I246</f>
        <v>[ OK ]</v>
      </c>
    </row>
    <row r="414" spans="1:10" ht="18.75" customHeight="1" x14ac:dyDescent="0.25">
      <c r="A414" s="1"/>
      <c r="B414" s="196">
        <f>Output!C247</f>
        <v>2</v>
      </c>
      <c r="C414" s="451">
        <f>Output!D247</f>
        <v>13</v>
      </c>
      <c r="D414" s="451">
        <f>Output!E247</f>
        <v>200</v>
      </c>
      <c r="E414" s="6">
        <f>Output!F247</f>
        <v>929.95704000000012</v>
      </c>
      <c r="F414" s="512">
        <f>Output!G247</f>
        <v>1977.9440068761585</v>
      </c>
      <c r="G414" s="512">
        <f>Output!H247</f>
        <v>2.1269197627410383</v>
      </c>
      <c r="H414" s="207" t="str">
        <f>Output!I247</f>
        <v>[ OK ]</v>
      </c>
    </row>
    <row r="415" spans="1:10" ht="18.75" customHeight="1" x14ac:dyDescent="0.25">
      <c r="A415" s="1"/>
      <c r="B415" s="196">
        <f>Output!C248</f>
        <v>3</v>
      </c>
      <c r="C415" s="451">
        <f>Output!D248</f>
        <v>13</v>
      </c>
      <c r="D415" s="451">
        <f>Output!E248</f>
        <v>200</v>
      </c>
      <c r="E415" s="6">
        <f>Output!F248</f>
        <v>878.29276000000016</v>
      </c>
      <c r="F415" s="512">
        <f>Output!G248</f>
        <v>2050.1148265045285</v>
      </c>
      <c r="G415" s="512">
        <f>Output!H248</f>
        <v>2.3342044018494792</v>
      </c>
      <c r="H415" s="207" t="str">
        <f>Output!I248</f>
        <v>[ OK ]</v>
      </c>
    </row>
    <row r="416" spans="1:10" ht="18.75" customHeight="1" x14ac:dyDescent="0.25">
      <c r="A416" s="1"/>
      <c r="B416" s="196">
        <f>Output!C249</f>
        <v>4</v>
      </c>
      <c r="C416" s="451">
        <f>Output!D249</f>
        <v>13</v>
      </c>
      <c r="D416" s="451">
        <f>Output!E249</f>
        <v>200</v>
      </c>
      <c r="E416" s="6">
        <f>Output!F249</f>
        <v>826.6284800000002</v>
      </c>
      <c r="F416" s="512">
        <f>Output!G249</f>
        <v>2117.5027167982444</v>
      </c>
      <c r="G416" s="512">
        <f>Output!H249</f>
        <v>2.5616135519529206</v>
      </c>
      <c r="H416" s="207" t="str">
        <f>Output!I249</f>
        <v>[ OK ]</v>
      </c>
    </row>
    <row r="417" spans="1:8" ht="18.75" customHeight="1" x14ac:dyDescent="0.25">
      <c r="A417" s="1"/>
      <c r="B417" s="196">
        <f>Output!C250</f>
        <v>5</v>
      </c>
      <c r="C417" s="451">
        <f>Output!D250</f>
        <v>13</v>
      </c>
      <c r="D417" s="451">
        <f>Output!E250</f>
        <v>200</v>
      </c>
      <c r="E417" s="6">
        <f>Output!F250</f>
        <v>774.96420000000012</v>
      </c>
      <c r="F417" s="512">
        <f>Output!G250</f>
        <v>2180.107814612089</v>
      </c>
      <c r="G417" s="512">
        <f>Output!H250</f>
        <v>2.8131722918453379</v>
      </c>
      <c r="H417" s="207" t="str">
        <f>Output!I250</f>
        <v>[ OK ]</v>
      </c>
    </row>
    <row r="418" spans="1:8" ht="18.75" customHeight="1" x14ac:dyDescent="0.25">
      <c r="A418" s="1"/>
      <c r="B418" s="196">
        <f>Output!C251</f>
        <v>6</v>
      </c>
      <c r="C418" s="451">
        <f>Output!D251</f>
        <v>13</v>
      </c>
      <c r="D418" s="451">
        <f>Output!E251</f>
        <v>200</v>
      </c>
      <c r="E418" s="6">
        <f>Output!F251</f>
        <v>723.29992000000016</v>
      </c>
      <c r="F418" s="512">
        <f>Output!G251</f>
        <v>2237.9302571084845</v>
      </c>
      <c r="G418" s="512">
        <f>Output!H251</f>
        <v>3.0940557232585952</v>
      </c>
      <c r="H418" s="207" t="str">
        <f>Output!I251</f>
        <v>[ OK ]</v>
      </c>
    </row>
    <row r="419" spans="1:8" ht="18.75" customHeight="1" x14ac:dyDescent="0.25">
      <c r="A419" s="1"/>
      <c r="B419" s="196">
        <f>Output!C252</f>
        <v>7</v>
      </c>
      <c r="C419" s="451">
        <f>Output!D252</f>
        <v>13</v>
      </c>
      <c r="D419" s="451">
        <f>Output!E252</f>
        <v>200</v>
      </c>
      <c r="E419" s="6">
        <f>Output!F252</f>
        <v>671.63564000000019</v>
      </c>
      <c r="F419" s="512">
        <f>Output!G252</f>
        <v>2254.9339705349412</v>
      </c>
      <c r="G419" s="512">
        <f>Output!H252</f>
        <v>3.3573768815111427</v>
      </c>
      <c r="H419" s="207" t="str">
        <f>Output!I252</f>
        <v>[ OK ]</v>
      </c>
    </row>
    <row r="420" spans="1:8" ht="18.75" customHeight="1" x14ac:dyDescent="0.25">
      <c r="A420" s="1"/>
      <c r="B420" s="196">
        <f>Output!C253</f>
        <v>8</v>
      </c>
      <c r="C420" s="451">
        <f>Output!D253</f>
        <v>13</v>
      </c>
      <c r="D420" s="451">
        <f>Output!E253</f>
        <v>200</v>
      </c>
      <c r="E420" s="6">
        <f>Output!F253</f>
        <v>619.97136000000012</v>
      </c>
      <c r="F420" s="512">
        <f>Output!G253</f>
        <v>2243.4699456519338</v>
      </c>
      <c r="G420" s="512">
        <f>Output!H253</f>
        <v>3.6186670714142881</v>
      </c>
      <c r="H420" s="207" t="str">
        <f>Output!I253</f>
        <v>[ OK ]</v>
      </c>
    </row>
    <row r="421" spans="1:8" ht="18.75" customHeight="1" x14ac:dyDescent="0.25">
      <c r="A421" s="1"/>
      <c r="B421" s="196">
        <f>Output!C254</f>
        <v>9</v>
      </c>
      <c r="C421" s="451">
        <f>Output!D254</f>
        <v>13</v>
      </c>
      <c r="D421" s="451">
        <f>Output!E254</f>
        <v>200</v>
      </c>
      <c r="E421" s="6">
        <f>Output!F254</f>
        <v>568.30708000000016</v>
      </c>
      <c r="F421" s="512">
        <f>Output!G254</f>
        <v>2232.0014042577609</v>
      </c>
      <c r="G421" s="512">
        <f>Output!H254</f>
        <v>3.9274566212649686</v>
      </c>
      <c r="H421" s="207" t="str">
        <f>Output!I254</f>
        <v>[ OK ]</v>
      </c>
    </row>
    <row r="422" spans="1:8" ht="18.75" customHeight="1" x14ac:dyDescent="0.25">
      <c r="A422" s="1"/>
      <c r="B422" s="196">
        <f>Output!C255</f>
        <v>10</v>
      </c>
      <c r="C422" s="451">
        <f>Output!D255</f>
        <v>13</v>
      </c>
      <c r="D422" s="451">
        <f>Output!E255</f>
        <v>200</v>
      </c>
      <c r="E422" s="6">
        <f>Output!F255</f>
        <v>516.64280000000008</v>
      </c>
      <c r="F422" s="512">
        <f>Output!G255</f>
        <v>2220.5284846646141</v>
      </c>
      <c r="G422" s="512">
        <f>Output!H255</f>
        <v>4.2979956067608294</v>
      </c>
      <c r="H422" s="207" t="str">
        <f>Output!I255</f>
        <v>[ OK ]</v>
      </c>
    </row>
    <row r="423" spans="1:8" ht="18.75" customHeight="1" x14ac:dyDescent="0.25">
      <c r="A423" s="1"/>
      <c r="B423" s="196">
        <f>Output!C256</f>
        <v>11</v>
      </c>
      <c r="C423" s="451">
        <f>Output!D256</f>
        <v>13</v>
      </c>
      <c r="D423" s="451">
        <f>Output!E256</f>
        <v>200</v>
      </c>
      <c r="E423" s="6">
        <f>Output!F256</f>
        <v>464.97852000000006</v>
      </c>
      <c r="F423" s="512">
        <f>Output!G256</f>
        <v>2209.0513254517314</v>
      </c>
      <c r="G423" s="512">
        <f>Output!H256</f>
        <v>4.7508674711505625</v>
      </c>
      <c r="H423" s="207" t="str">
        <f>Output!I256</f>
        <v>[ OK ]</v>
      </c>
    </row>
    <row r="424" spans="1:8" ht="18.75" customHeight="1" x14ac:dyDescent="0.25">
      <c r="A424" s="1"/>
      <c r="B424" s="196">
        <f>Output!C257</f>
        <v>12</v>
      </c>
      <c r="C424" s="451">
        <f>Output!D257</f>
        <v>13</v>
      </c>
      <c r="D424" s="451">
        <f>Output!E257</f>
        <v>200</v>
      </c>
      <c r="E424" s="6">
        <f>Output!F257</f>
        <v>413.3142400000001</v>
      </c>
      <c r="F424" s="512">
        <f>Output!G257</f>
        <v>2197.5700654571624</v>
      </c>
      <c r="G424" s="512">
        <f>Output!H257</f>
        <v>5.3169473799333939</v>
      </c>
      <c r="H424" s="207" t="str">
        <f>Output!I257</f>
        <v>[ OK ]</v>
      </c>
    </row>
    <row r="425" spans="1:8" ht="18.75" customHeight="1" x14ac:dyDescent="0.25">
      <c r="A425" s="1"/>
      <c r="B425" s="196">
        <f>Output!C258</f>
        <v>13</v>
      </c>
      <c r="C425" s="451">
        <f>Output!D258</f>
        <v>13</v>
      </c>
      <c r="D425" s="451">
        <f>Output!E258</f>
        <v>200</v>
      </c>
      <c r="E425" s="6">
        <f>Output!F258</f>
        <v>361.64996000000008</v>
      </c>
      <c r="F425" s="512">
        <f>Output!G258</f>
        <v>2186.0848437694922</v>
      </c>
      <c r="G425" s="512">
        <f>Output!H258</f>
        <v>6.0447534510151524</v>
      </c>
      <c r="H425" s="207" t="str">
        <f>Output!I258</f>
        <v>[ OK ]</v>
      </c>
    </row>
    <row r="426" spans="1:8" ht="18.75" customHeight="1" x14ac:dyDescent="0.25">
      <c r="A426" s="1"/>
      <c r="B426" s="196">
        <f>Output!C259</f>
        <v>14</v>
      </c>
      <c r="C426" s="451">
        <f>Output!D259</f>
        <v>13</v>
      </c>
      <c r="D426" s="451">
        <f>Output!E259</f>
        <v>200</v>
      </c>
      <c r="E426" s="6">
        <f>Output!F259</f>
        <v>309.98568000000006</v>
      </c>
      <c r="F426" s="512">
        <f>Output!G259</f>
        <v>2174.5957997195374</v>
      </c>
      <c r="G426" s="512">
        <f>Output!H259</f>
        <v>7.0151492150203101</v>
      </c>
      <c r="H426" s="207" t="str">
        <f>Output!I259</f>
        <v>[ OK ]</v>
      </c>
    </row>
    <row r="427" spans="1:8" ht="18.75" customHeight="1" x14ac:dyDescent="0.25">
      <c r="A427" s="1"/>
      <c r="B427" s="196">
        <f>Output!C260</f>
        <v>15</v>
      </c>
      <c r="C427" s="451">
        <f>Output!D260</f>
        <v>13</v>
      </c>
      <c r="D427" s="451">
        <f>Output!E260</f>
        <v>200</v>
      </c>
      <c r="E427" s="6">
        <f>Output!F260</f>
        <v>258.32140000000004</v>
      </c>
      <c r="F427" s="512">
        <f>Output!G260</f>
        <v>2163.1030728720016</v>
      </c>
      <c r="G427" s="512">
        <f>Output!H260</f>
        <v>8.3736890279783296</v>
      </c>
      <c r="H427" s="207" t="str">
        <f>Output!I260</f>
        <v>[ OK ]</v>
      </c>
    </row>
    <row r="428" spans="1:8" ht="18.75" customHeight="1" x14ac:dyDescent="0.25">
      <c r="A428" s="1"/>
      <c r="B428" s="196">
        <f>Output!C261</f>
        <v>16</v>
      </c>
      <c r="C428" s="451">
        <f>Output!D261</f>
        <v>13</v>
      </c>
      <c r="D428" s="451">
        <f>Output!E261</f>
        <v>200</v>
      </c>
      <c r="E428" s="6">
        <f>Output!F261</f>
        <v>206.65712000000005</v>
      </c>
      <c r="F428" s="512">
        <f>Output!G261</f>
        <v>2151.6068030170973</v>
      </c>
      <c r="G428" s="512">
        <f>Output!H261</f>
        <v>10.411481603039357</v>
      </c>
      <c r="H428" s="207" t="str">
        <f>Output!I261</f>
        <v>[ OK ]</v>
      </c>
    </row>
    <row r="429" spans="1:8" ht="18.75" customHeight="1" x14ac:dyDescent="0.25">
      <c r="A429" s="1"/>
      <c r="B429" s="196">
        <f>Output!C262</f>
        <v>17</v>
      </c>
      <c r="C429" s="451">
        <f>Output!D262</f>
        <v>13</v>
      </c>
      <c r="D429" s="451">
        <f>Output!E262</f>
        <v>200</v>
      </c>
      <c r="E429" s="6">
        <f>Output!F262</f>
        <v>154.99284000000003</v>
      </c>
      <c r="F429" s="512">
        <f>Output!G262</f>
        <v>2140.1071301621428</v>
      </c>
      <c r="G429" s="512">
        <f>Output!H262</f>
        <v>13.807780605621153</v>
      </c>
      <c r="H429" s="207" t="str">
        <f>Output!I262</f>
        <v>[ OK ]</v>
      </c>
    </row>
    <row r="430" spans="1:8" ht="18.75" customHeight="1" x14ac:dyDescent="0.25">
      <c r="A430" s="1"/>
      <c r="B430" s="196">
        <f>Output!C263</f>
        <v>18</v>
      </c>
      <c r="C430" s="451">
        <f>Output!D263</f>
        <v>13</v>
      </c>
      <c r="D430" s="451">
        <f>Output!E263</f>
        <v>200</v>
      </c>
      <c r="E430" s="6">
        <f>Output!F263</f>
        <v>103.32856000000002</v>
      </c>
      <c r="F430" s="512">
        <f>Output!G263</f>
        <v>2128.60419452312</v>
      </c>
      <c r="G430" s="512">
        <f>Output!H263</f>
        <v>20.600347033996403</v>
      </c>
      <c r="H430" s="207" t="str">
        <f>Output!I263</f>
        <v>[ OK ]</v>
      </c>
    </row>
    <row r="431" spans="1:8" ht="18.75" customHeight="1" x14ac:dyDescent="0.25">
      <c r="A431" s="1"/>
      <c r="B431" s="196">
        <f>Output!C264</f>
        <v>19</v>
      </c>
      <c r="C431" s="451">
        <f>Output!D264</f>
        <v>13</v>
      </c>
      <c r="D431" s="451">
        <f>Output!E264</f>
        <v>200</v>
      </c>
      <c r="E431" s="6">
        <f>Output!F264</f>
        <v>51.664280000000012</v>
      </c>
      <c r="F431" s="512">
        <f>Output!G264</f>
        <v>2117.0981365162074</v>
      </c>
      <c r="G431" s="512">
        <f>Output!H264</f>
        <v>40.97798588340352</v>
      </c>
      <c r="H431" s="207" t="str">
        <f>Output!I264</f>
        <v>[ OK ]</v>
      </c>
    </row>
    <row r="432" spans="1:8" ht="18.75" customHeight="1" x14ac:dyDescent="0.25">
      <c r="A432" s="1"/>
      <c r="B432" s="196">
        <f>Output!C265</f>
        <v>20</v>
      </c>
      <c r="C432" s="451">
        <f>Output!D265</f>
        <v>13</v>
      </c>
      <c r="D432" s="451">
        <f>Output!E265</f>
        <v>200</v>
      </c>
      <c r="E432" s="6">
        <f>Output!F265</f>
        <v>3.0515199301858855</v>
      </c>
      <c r="F432" s="512">
        <f>Output!G265</f>
        <v>2105.5890967492815</v>
      </c>
      <c r="G432" s="512">
        <f>Output!H265</f>
        <v>690.01322125430715</v>
      </c>
      <c r="H432" s="207" t="str">
        <f>Output!I265</f>
        <v>[ OK ]</v>
      </c>
    </row>
    <row r="433" spans="1:11" ht="18.75" customHeight="1" x14ac:dyDescent="0.25">
      <c r="A433" s="1"/>
    </row>
    <row r="434" spans="1:11" ht="18.75" customHeight="1" x14ac:dyDescent="0.25">
      <c r="A434" s="328"/>
      <c r="J434" s="42"/>
      <c r="K434" s="42"/>
    </row>
    <row r="435" spans="1:11" ht="18.75" customHeight="1" x14ac:dyDescent="0.25">
      <c r="A435" s="328"/>
      <c r="J435" s="42"/>
      <c r="K435" s="42"/>
    </row>
    <row r="436" spans="1:11" ht="18.75" customHeight="1" x14ac:dyDescent="0.25">
      <c r="A436" s="328"/>
      <c r="J436" s="42"/>
      <c r="K436" s="42"/>
    </row>
    <row r="437" spans="1:11" ht="18.75" customHeight="1" x14ac:dyDescent="0.25">
      <c r="A437" s="328"/>
      <c r="J437" s="42"/>
      <c r="K437" s="42"/>
    </row>
    <row r="438" spans="1:11" ht="18.75" customHeight="1" x14ac:dyDescent="0.25">
      <c r="A438" s="328"/>
      <c r="J438" s="42"/>
      <c r="K438" s="42"/>
    </row>
    <row r="439" spans="1:11" ht="18.75" customHeight="1" x14ac:dyDescent="0.25">
      <c r="A439" s="328"/>
      <c r="J439" s="42"/>
      <c r="K439" s="42"/>
    </row>
    <row r="440" spans="1:11" ht="18.75" customHeight="1" x14ac:dyDescent="0.25">
      <c r="A440" s="328"/>
      <c r="J440" s="42"/>
      <c r="K440" s="42"/>
    </row>
    <row r="441" spans="1:11" ht="18.75" customHeight="1" x14ac:dyDescent="0.25">
      <c r="A441" s="531" t="s">
        <v>1288</v>
      </c>
      <c r="B441" s="482" t="s">
        <v>1255</v>
      </c>
      <c r="C441" s="483"/>
      <c r="D441" s="483"/>
      <c r="E441" s="483"/>
      <c r="F441" s="483"/>
      <c r="G441" s="484"/>
      <c r="H441" s="485"/>
      <c r="I441" s="486"/>
    </row>
    <row r="442" spans="1:11" ht="18.75" customHeight="1" x14ac:dyDescent="0.25">
      <c r="A442" s="132" t="s">
        <v>733</v>
      </c>
      <c r="B442" s="328" t="s">
        <v>704</v>
      </c>
      <c r="C442" s="42"/>
      <c r="D442" s="42"/>
      <c r="E442" s="42"/>
      <c r="F442" s="42"/>
      <c r="G442" s="42"/>
      <c r="H442" s="42"/>
      <c r="I442" s="42"/>
      <c r="J442" s="42"/>
      <c r="K442" s="42"/>
    </row>
    <row r="443" spans="1:11" ht="18.75" customHeight="1" x14ac:dyDescent="0.25">
      <c r="A443" s="132" t="s">
        <v>734</v>
      </c>
      <c r="B443" s="328" t="s">
        <v>792</v>
      </c>
      <c r="C443" s="42"/>
      <c r="D443" s="42"/>
      <c r="E443" s="42"/>
      <c r="F443" s="42"/>
      <c r="G443" s="42"/>
      <c r="H443" s="42"/>
      <c r="I443" s="42"/>
      <c r="J443" s="42"/>
      <c r="K443" s="42"/>
    </row>
    <row r="444" spans="1:11" ht="18.75" customHeight="1" x14ac:dyDescent="0.25">
      <c r="A444" s="132"/>
      <c r="B444" s="42" t="s">
        <v>20</v>
      </c>
      <c r="C444" s="42"/>
      <c r="D444" s="42"/>
      <c r="E444" s="42"/>
      <c r="F444" s="42"/>
      <c r="G444" s="30" t="s">
        <v>21</v>
      </c>
      <c r="H444" s="47">
        <f>'Input (2) &amp; Process (1)'!H4</f>
        <v>40</v>
      </c>
      <c r="I444" s="32" t="s">
        <v>2</v>
      </c>
      <c r="J444" s="42"/>
      <c r="K444" s="42"/>
    </row>
    <row r="445" spans="1:11" ht="18.75" customHeight="1" x14ac:dyDescent="0.25">
      <c r="A445" s="132"/>
      <c r="B445" s="42" t="s">
        <v>102</v>
      </c>
      <c r="C445" s="42"/>
      <c r="D445" s="42"/>
      <c r="E445" s="42"/>
      <c r="F445" s="42"/>
      <c r="G445" s="30" t="s">
        <v>108</v>
      </c>
      <c r="H445" s="459">
        <f>'Input (2) &amp; Process (1)'!H5</f>
        <v>0.75230000000000019</v>
      </c>
      <c r="I445" s="32" t="s">
        <v>127</v>
      </c>
      <c r="J445" s="42"/>
      <c r="K445" s="42"/>
    </row>
    <row r="446" spans="1:11" ht="18.75" customHeight="1" x14ac:dyDescent="0.25">
      <c r="A446" s="132"/>
      <c r="B446" s="247" t="s">
        <v>793</v>
      </c>
      <c r="C446" s="247"/>
      <c r="D446" s="247"/>
      <c r="E446" s="247"/>
      <c r="F446" s="247"/>
      <c r="G446" s="57" t="s">
        <v>31</v>
      </c>
      <c r="H446" s="47">
        <f>'Input (2) &amp; Process (1)'!H6</f>
        <v>24</v>
      </c>
      <c r="I446" s="259" t="s">
        <v>32</v>
      </c>
      <c r="J446" s="42"/>
      <c r="K446" s="42"/>
    </row>
    <row r="447" spans="1:11" ht="18.75" customHeight="1" x14ac:dyDescent="0.25">
      <c r="A447" s="132"/>
      <c r="B447" s="42" t="s">
        <v>794</v>
      </c>
      <c r="C447" s="42"/>
      <c r="D447" s="42"/>
      <c r="E447" s="42"/>
      <c r="F447" s="42"/>
      <c r="G447" s="30" t="s">
        <v>795</v>
      </c>
      <c r="H447" s="47">
        <f>'Input (2) &amp; Process (1)'!H7</f>
        <v>18.055200000000006</v>
      </c>
      <c r="I447" s="259" t="s">
        <v>39</v>
      </c>
      <c r="J447" s="42"/>
      <c r="K447" s="42"/>
    </row>
    <row r="448" spans="1:11" ht="18.75" customHeight="1" x14ac:dyDescent="0.25">
      <c r="A448" s="132"/>
      <c r="B448" s="42" t="s">
        <v>686</v>
      </c>
      <c r="C448" s="42"/>
      <c r="D448" s="42"/>
      <c r="E448" s="42"/>
      <c r="F448" s="42"/>
      <c r="G448" s="30" t="s">
        <v>698</v>
      </c>
      <c r="H448" s="47">
        <f>'Input (2) &amp; Process (1)'!H8</f>
        <v>3611.0400000000013</v>
      </c>
      <c r="I448" s="32" t="s">
        <v>42</v>
      </c>
      <c r="J448" s="42"/>
      <c r="K448" s="42"/>
    </row>
    <row r="449" spans="1:11" ht="18.75" customHeight="1" x14ac:dyDescent="0.25">
      <c r="A449" s="132"/>
      <c r="B449" s="328"/>
      <c r="C449" s="42"/>
      <c r="D449" s="42"/>
      <c r="E449" s="42"/>
      <c r="F449" s="42"/>
      <c r="G449" s="42"/>
      <c r="H449" s="42"/>
      <c r="I449" s="42"/>
      <c r="J449" s="42"/>
      <c r="K449" s="42"/>
    </row>
    <row r="450" spans="1:11" ht="18.75" customHeight="1" x14ac:dyDescent="0.25">
      <c r="A450" s="132" t="s">
        <v>735</v>
      </c>
      <c r="B450" s="328" t="s">
        <v>687</v>
      </c>
      <c r="C450" s="42"/>
      <c r="D450" s="42"/>
      <c r="E450" s="42"/>
      <c r="F450" s="42"/>
      <c r="G450" s="42"/>
      <c r="H450" s="42"/>
      <c r="I450" s="42"/>
      <c r="J450" s="42"/>
      <c r="K450" s="42"/>
    </row>
    <row r="451" spans="1:11" ht="18.75" customHeight="1" x14ac:dyDescent="0.25">
      <c r="A451" s="132"/>
      <c r="B451" s="42" t="s">
        <v>0</v>
      </c>
      <c r="C451" s="42"/>
      <c r="D451" s="42"/>
      <c r="E451" s="42"/>
      <c r="F451" s="42"/>
      <c r="G451" s="30" t="s">
        <v>1</v>
      </c>
      <c r="H451" s="47">
        <f>'Input (2) &amp; Process (1)'!H11</f>
        <v>0.25</v>
      </c>
      <c r="I451" s="32" t="s">
        <v>2</v>
      </c>
      <c r="J451" s="42"/>
      <c r="K451" s="42"/>
    </row>
    <row r="452" spans="1:11" ht="18.75" customHeight="1" x14ac:dyDescent="0.25">
      <c r="A452" s="132"/>
      <c r="B452" s="42" t="s">
        <v>678</v>
      </c>
      <c r="C452" s="42"/>
      <c r="D452" s="42"/>
      <c r="E452" s="42"/>
      <c r="F452" s="42"/>
      <c r="G452" s="30" t="s">
        <v>11</v>
      </c>
      <c r="H452" s="47">
        <f>'Input (2) &amp; Process (1)'!H12</f>
        <v>1.85</v>
      </c>
      <c r="I452" s="32" t="s">
        <v>2</v>
      </c>
      <c r="J452" s="42"/>
      <c r="K452" s="42"/>
    </row>
    <row r="453" spans="1:11" ht="18.75" customHeight="1" x14ac:dyDescent="0.25">
      <c r="A453" s="132"/>
      <c r="B453" s="42" t="s">
        <v>679</v>
      </c>
      <c r="C453" s="42"/>
      <c r="D453" s="42"/>
      <c r="E453" s="42"/>
      <c r="F453" s="42"/>
      <c r="G453" s="57" t="s">
        <v>31</v>
      </c>
      <c r="H453" s="47">
        <f>'Input (2) &amp; Process (1)'!H13</f>
        <v>24</v>
      </c>
      <c r="I453" s="259" t="s">
        <v>32</v>
      </c>
      <c r="J453" s="42"/>
      <c r="K453" s="42"/>
    </row>
    <row r="454" spans="1:11" ht="18.75" customHeight="1" x14ac:dyDescent="0.25">
      <c r="A454" s="132"/>
      <c r="B454" s="42" t="s">
        <v>684</v>
      </c>
      <c r="C454" s="42"/>
      <c r="D454" s="42"/>
      <c r="E454" s="42"/>
      <c r="F454" s="42"/>
      <c r="G454" s="30" t="s">
        <v>685</v>
      </c>
      <c r="H454" s="47">
        <f>'Input (2) &amp; Process (1)'!H14</f>
        <v>11.100000000000001</v>
      </c>
      <c r="I454" s="259" t="s">
        <v>39</v>
      </c>
      <c r="J454" s="42"/>
      <c r="K454" s="42"/>
    </row>
    <row r="455" spans="1:11" ht="18.75" customHeight="1" x14ac:dyDescent="0.25">
      <c r="A455" s="132"/>
      <c r="B455" s="42" t="s">
        <v>686</v>
      </c>
      <c r="C455" s="42"/>
      <c r="D455" s="42"/>
      <c r="E455" s="42"/>
      <c r="F455" s="42"/>
      <c r="G455" s="30" t="s">
        <v>797</v>
      </c>
      <c r="H455" s="47">
        <f>'Input (2) &amp; Process (1)'!H15</f>
        <v>2220.0000000000005</v>
      </c>
      <c r="I455" s="32" t="s">
        <v>42</v>
      </c>
      <c r="J455" s="42"/>
      <c r="K455" s="42"/>
    </row>
    <row r="456" spans="1:11" ht="18.75" customHeight="1" x14ac:dyDescent="0.25">
      <c r="A456" s="132"/>
      <c r="B456" s="42"/>
      <c r="C456" s="42"/>
      <c r="D456" s="42"/>
      <c r="E456" s="42"/>
      <c r="F456" s="42"/>
      <c r="G456" s="42"/>
      <c r="H456" s="42"/>
      <c r="I456" s="42"/>
      <c r="J456" s="42"/>
      <c r="K456" s="42"/>
    </row>
    <row r="457" spans="1:11" ht="18.75" customHeight="1" x14ac:dyDescent="0.25">
      <c r="A457" s="132" t="s">
        <v>798</v>
      </c>
      <c r="B457" s="328" t="s">
        <v>688</v>
      </c>
      <c r="C457" s="42"/>
      <c r="D457" s="42"/>
      <c r="E457" s="42"/>
      <c r="F457" s="42"/>
      <c r="G457" s="42"/>
      <c r="H457" s="42"/>
      <c r="I457" s="42"/>
      <c r="J457" s="42"/>
      <c r="K457" s="42"/>
    </row>
    <row r="458" spans="1:11" ht="18.75" customHeight="1" x14ac:dyDescent="0.25">
      <c r="A458" s="132"/>
      <c r="B458" s="42" t="s">
        <v>689</v>
      </c>
      <c r="C458" s="42"/>
      <c r="D458" s="42"/>
      <c r="E458" s="42"/>
      <c r="F458" s="42"/>
      <c r="G458" s="30" t="s">
        <v>132</v>
      </c>
      <c r="H458" s="182">
        <f>'Input (2) &amp; Process (1)'!H18</f>
        <v>9</v>
      </c>
      <c r="I458" s="32"/>
      <c r="J458" s="42"/>
      <c r="K458" s="42"/>
    </row>
    <row r="459" spans="1:11" ht="18.75" customHeight="1" x14ac:dyDescent="0.25">
      <c r="A459" s="132"/>
      <c r="B459" s="42" t="s">
        <v>690</v>
      </c>
      <c r="C459" s="42"/>
      <c r="D459" s="42"/>
      <c r="E459" s="42"/>
      <c r="F459" s="42"/>
      <c r="G459" s="30" t="str">
        <f>IF(H458=3,"X2 =",IF(H458=5,"X3 =",IF(H458=7,"X4 =",IF(H458=9,"X5 =",""))))</f>
        <v>X5 =</v>
      </c>
      <c r="H459" s="6">
        <f>'Input (2) &amp; Process (1)'!H19</f>
        <v>20</v>
      </c>
      <c r="I459" s="32" t="s">
        <v>2</v>
      </c>
      <c r="J459" s="42"/>
      <c r="K459" s="42"/>
    </row>
    <row r="460" spans="1:11" ht="18.75" customHeight="1" x14ac:dyDescent="0.25">
      <c r="A460" s="132"/>
      <c r="B460" s="42"/>
      <c r="C460" s="42"/>
      <c r="D460" s="42"/>
      <c r="E460" s="42"/>
      <c r="F460" s="42"/>
      <c r="G460" s="30" t="str">
        <f>IF(H458=3,"X1 =",IF(H458=5,"X2 =",IF(H458=7,"X3 =",IF(H458=9,"X4 =",""))))</f>
        <v>X4 =</v>
      </c>
      <c r="H460" s="6">
        <f>'Input (2) &amp; Process (1)'!H20</f>
        <v>15</v>
      </c>
      <c r="I460" s="32" t="s">
        <v>2</v>
      </c>
      <c r="J460" s="42"/>
      <c r="K460" s="42"/>
    </row>
    <row r="461" spans="1:11" ht="18.75" customHeight="1" x14ac:dyDescent="0.25">
      <c r="A461" s="132"/>
      <c r="B461" s="42"/>
      <c r="C461" s="42"/>
      <c r="D461" s="42"/>
      <c r="E461" s="42"/>
      <c r="F461" s="42"/>
      <c r="G461" s="30" t="str">
        <f>IF(H458&lt;3,"",IF(H458=5,"X1 =",IF(H458=7,"X2 =",IF(H458=9,"X3 =",""))))</f>
        <v>X3 =</v>
      </c>
      <c r="H461" s="6">
        <f>'Input (2) &amp; Process (1)'!H21</f>
        <v>10</v>
      </c>
      <c r="I461" s="32" t="s">
        <v>2</v>
      </c>
      <c r="J461" s="42"/>
      <c r="K461" s="42"/>
    </row>
    <row r="462" spans="1:11" ht="18.75" customHeight="1" x14ac:dyDescent="0.25">
      <c r="A462" s="132"/>
      <c r="B462" s="42"/>
      <c r="C462" s="42"/>
      <c r="D462" s="42"/>
      <c r="E462" s="42"/>
      <c r="F462" s="42"/>
      <c r="G462" s="30" t="str">
        <f>IF(H458&lt;5,"",IF(H458=7,"X1 =",IF(H458=9,"X2 =","")))</f>
        <v>X2 =</v>
      </c>
      <c r="H462" s="6">
        <f>'Input (2) &amp; Process (1)'!H22</f>
        <v>5</v>
      </c>
      <c r="I462" s="32" t="s">
        <v>2</v>
      </c>
      <c r="J462" s="42"/>
      <c r="K462" s="42"/>
    </row>
    <row r="463" spans="1:11" ht="18.75" customHeight="1" x14ac:dyDescent="0.25">
      <c r="A463" s="132"/>
      <c r="B463" s="42"/>
      <c r="C463" s="42"/>
      <c r="D463" s="42"/>
      <c r="E463" s="42"/>
      <c r="F463" s="42"/>
      <c r="G463" s="30" t="str">
        <f>IF(H458&lt;7,"",IF(H458=9,"X1 =",""))</f>
        <v>X1 =</v>
      </c>
      <c r="H463" s="6">
        <f>'Input (2) &amp; Process (1)'!H23</f>
        <v>0</v>
      </c>
      <c r="I463" s="32" t="s">
        <v>2</v>
      </c>
      <c r="J463" s="42"/>
      <c r="K463" s="42"/>
    </row>
    <row r="464" spans="1:11" ht="18.75" customHeight="1" x14ac:dyDescent="0.25">
      <c r="A464" s="132"/>
      <c r="B464" s="42"/>
      <c r="C464" s="42"/>
      <c r="D464" s="42"/>
      <c r="E464" s="42"/>
      <c r="F464" s="42"/>
      <c r="G464" s="42"/>
      <c r="H464" s="42"/>
      <c r="I464" s="42"/>
      <c r="J464" s="42"/>
      <c r="K464" s="42"/>
    </row>
    <row r="465" spans="1:11" ht="18.75" customHeight="1" x14ac:dyDescent="0.25">
      <c r="A465" s="132"/>
      <c r="B465" s="89" t="s">
        <v>691</v>
      </c>
      <c r="C465" s="89"/>
      <c r="D465" s="89"/>
      <c r="E465" s="89"/>
      <c r="F465" s="89"/>
      <c r="G465" s="253" t="s">
        <v>692</v>
      </c>
      <c r="H465" s="25">
        <f>'Input (2) &amp; Process (1)'!H25</f>
        <v>0.2</v>
      </c>
      <c r="I465" s="143" t="s">
        <v>2</v>
      </c>
      <c r="J465" s="42"/>
      <c r="K465" s="42"/>
    </row>
    <row r="466" spans="1:11" ht="18.75" customHeight="1" x14ac:dyDescent="0.25">
      <c r="A466" s="132"/>
      <c r="B466" s="89"/>
      <c r="C466" s="89"/>
      <c r="D466" s="89"/>
      <c r="E466" s="89"/>
      <c r="F466" s="89"/>
      <c r="G466" s="253" t="s">
        <v>694</v>
      </c>
      <c r="H466" s="140">
        <f>'Input (2) &amp; Process (1)'!H26</f>
        <v>1.6500000000000001</v>
      </c>
      <c r="I466" s="143" t="s">
        <v>2</v>
      </c>
      <c r="J466" s="42"/>
      <c r="K466" s="42"/>
    </row>
    <row r="467" spans="1:11" ht="18.75" customHeight="1" x14ac:dyDescent="0.25">
      <c r="A467" s="132"/>
      <c r="B467" s="89"/>
      <c r="C467" s="89"/>
      <c r="D467" s="89"/>
      <c r="E467" s="89"/>
      <c r="F467" s="89"/>
      <c r="G467" s="253" t="s">
        <v>693</v>
      </c>
      <c r="H467" s="140">
        <f>'Input (2) &amp; Process (1)'!H27</f>
        <v>1.85</v>
      </c>
      <c r="I467" s="143" t="s">
        <v>2</v>
      </c>
      <c r="J467" s="42"/>
      <c r="K467" s="42"/>
    </row>
    <row r="468" spans="1:11" ht="18.75" customHeight="1" x14ac:dyDescent="0.25">
      <c r="A468" s="132"/>
      <c r="B468" s="89" t="s">
        <v>695</v>
      </c>
      <c r="C468" s="89"/>
      <c r="D468" s="89"/>
      <c r="E468" s="89"/>
      <c r="F468" s="89"/>
      <c r="G468" s="253" t="s">
        <v>696</v>
      </c>
      <c r="H468" s="148">
        <f>'Input (2) &amp; Process (1)'!H28</f>
        <v>14.652000000000005</v>
      </c>
      <c r="I468" s="143" t="s">
        <v>40</v>
      </c>
      <c r="J468" s="42"/>
      <c r="K468" s="42"/>
    </row>
    <row r="469" spans="1:11" ht="18.75" customHeight="1" x14ac:dyDescent="0.25">
      <c r="A469" s="132"/>
      <c r="B469" s="42" t="s">
        <v>697</v>
      </c>
      <c r="C469" s="42"/>
      <c r="D469" s="42"/>
      <c r="E469" s="42"/>
      <c r="F469" s="42"/>
      <c r="G469" s="30" t="s">
        <v>799</v>
      </c>
      <c r="H469" s="207">
        <f>'Input (2) &amp; Process (1)'!H29</f>
        <v>586.08000000000015</v>
      </c>
      <c r="I469" s="32" t="s">
        <v>42</v>
      </c>
      <c r="J469" s="42"/>
      <c r="K469" s="42"/>
    </row>
    <row r="470" spans="1:11" ht="18.75" customHeight="1" x14ac:dyDescent="0.25">
      <c r="A470" s="132"/>
      <c r="B470" s="42"/>
      <c r="C470" s="42"/>
      <c r="D470" s="42"/>
      <c r="E470" s="42"/>
      <c r="F470" s="42"/>
      <c r="G470" s="42"/>
      <c r="H470" s="42"/>
      <c r="I470" s="42"/>
      <c r="J470" s="42"/>
      <c r="K470" s="42"/>
    </row>
    <row r="471" spans="1:11" ht="18.75" customHeight="1" x14ac:dyDescent="0.25">
      <c r="A471" s="132" t="s">
        <v>736</v>
      </c>
      <c r="B471" s="328" t="s">
        <v>801</v>
      </c>
      <c r="C471" s="89"/>
      <c r="D471" s="89"/>
      <c r="E471" s="89"/>
      <c r="F471" s="89"/>
      <c r="G471" s="89"/>
      <c r="H471" s="89"/>
      <c r="I471" s="89"/>
      <c r="J471" s="42"/>
      <c r="K471" s="42"/>
    </row>
    <row r="472" spans="1:11" ht="18.75" customHeight="1" x14ac:dyDescent="0.25">
      <c r="A472" s="128"/>
      <c r="B472" s="247" t="s">
        <v>802</v>
      </c>
      <c r="C472" s="89"/>
      <c r="D472" s="89"/>
      <c r="E472" s="89"/>
      <c r="F472" s="89"/>
      <c r="G472" s="30" t="s">
        <v>374</v>
      </c>
      <c r="H472" s="459">
        <f>'Input (2) &amp; Process (1)'!H32</f>
        <v>7579.4128750556474</v>
      </c>
      <c r="I472" s="32" t="s">
        <v>40</v>
      </c>
      <c r="J472" s="42"/>
      <c r="K472" s="42"/>
    </row>
    <row r="473" spans="1:11" ht="18.75" customHeight="1" x14ac:dyDescent="0.25">
      <c r="A473" s="128"/>
      <c r="B473" s="89" t="s">
        <v>803</v>
      </c>
      <c r="C473" s="89"/>
      <c r="D473" s="89"/>
      <c r="E473" s="89"/>
      <c r="F473" s="89"/>
      <c r="G473" s="30" t="s">
        <v>401</v>
      </c>
      <c r="H473" s="459">
        <f>'Input (2) &amp; Process (1)'!H33</f>
        <v>0.81195046302450269</v>
      </c>
      <c r="I473" s="32" t="s">
        <v>2</v>
      </c>
      <c r="J473" s="42"/>
      <c r="K473" s="42"/>
    </row>
    <row r="474" spans="1:11" ht="18.75" customHeight="1" x14ac:dyDescent="0.25">
      <c r="A474" s="128"/>
      <c r="B474" s="89" t="s">
        <v>804</v>
      </c>
      <c r="C474" s="89"/>
      <c r="D474" s="89"/>
      <c r="E474" s="89"/>
      <c r="F474" s="89"/>
      <c r="G474" s="30" t="s">
        <v>805</v>
      </c>
      <c r="H474" s="459">
        <f>'Input (2) &amp; Process (1)'!H34</f>
        <v>0</v>
      </c>
      <c r="I474" s="32" t="s">
        <v>2</v>
      </c>
      <c r="J474" s="42"/>
      <c r="K474" s="42"/>
    </row>
    <row r="475" spans="1:11" ht="18.75" customHeight="1" x14ac:dyDescent="0.25">
      <c r="A475" s="128"/>
      <c r="B475" s="89" t="s">
        <v>806</v>
      </c>
      <c r="C475" s="89"/>
      <c r="D475" s="89"/>
      <c r="E475" s="89"/>
      <c r="F475" s="89"/>
      <c r="G475" s="253" t="s">
        <v>807</v>
      </c>
      <c r="H475" s="459">
        <f>'Input (2) &amp; Process (1)'!H35</f>
        <v>0.81195046302450269</v>
      </c>
      <c r="I475" s="32" t="s">
        <v>2</v>
      </c>
      <c r="J475" s="42"/>
      <c r="K475" s="42"/>
    </row>
    <row r="476" spans="1:11" ht="18.75" customHeight="1" x14ac:dyDescent="0.25">
      <c r="A476" s="128"/>
      <c r="B476" s="89" t="s">
        <v>808</v>
      </c>
      <c r="C476" s="89"/>
      <c r="D476" s="89"/>
      <c r="E476" s="89"/>
      <c r="F476" s="89"/>
      <c r="G476" s="253" t="s">
        <v>809</v>
      </c>
      <c r="H476" s="459">
        <f>'Input (2) &amp; Process (1)'!H36</f>
        <v>30.770538966776549</v>
      </c>
      <c r="I476" s="32" t="s">
        <v>39</v>
      </c>
      <c r="J476" s="42"/>
      <c r="K476" s="42"/>
    </row>
    <row r="477" spans="1:11" ht="18.75" customHeight="1" x14ac:dyDescent="0.25">
      <c r="A477" s="128"/>
      <c r="B477" s="42" t="s">
        <v>810</v>
      </c>
      <c r="C477" s="42"/>
      <c r="D477" s="42"/>
      <c r="E477" s="42"/>
      <c r="F477" s="42"/>
      <c r="G477" s="30" t="s">
        <v>811</v>
      </c>
      <c r="H477" s="459">
        <f>'Input (2) &amp; Process (1)'!H37</f>
        <v>6154.1077933553097</v>
      </c>
      <c r="I477" s="32" t="s">
        <v>42</v>
      </c>
      <c r="J477" s="42"/>
      <c r="K477" s="42"/>
    </row>
    <row r="478" spans="1:11" ht="18.75" customHeight="1" x14ac:dyDescent="0.25">
      <c r="A478" s="132" t="s">
        <v>737</v>
      </c>
      <c r="B478" s="328" t="s">
        <v>705</v>
      </c>
      <c r="C478" s="42"/>
      <c r="D478" s="42"/>
      <c r="E478" s="42"/>
      <c r="F478" s="42"/>
      <c r="G478" s="42"/>
      <c r="H478" s="42"/>
      <c r="I478" s="42"/>
      <c r="J478" s="42"/>
      <c r="K478" s="42"/>
    </row>
    <row r="479" spans="1:11" ht="18.75" customHeight="1" x14ac:dyDescent="0.25">
      <c r="A479" s="132" t="s">
        <v>738</v>
      </c>
      <c r="B479" s="328" t="s">
        <v>706</v>
      </c>
      <c r="C479" s="42"/>
      <c r="D479" s="42"/>
      <c r="E479" s="42"/>
      <c r="F479" s="42"/>
      <c r="G479" s="42"/>
      <c r="H479" s="42"/>
      <c r="I479" s="42"/>
      <c r="J479" s="42"/>
      <c r="K479" s="42"/>
    </row>
    <row r="480" spans="1:11" ht="18.75" customHeight="1" x14ac:dyDescent="0.25">
      <c r="A480" s="132"/>
      <c r="B480" s="42" t="s">
        <v>6</v>
      </c>
      <c r="C480" s="42"/>
      <c r="D480" s="42"/>
      <c r="E480" s="42"/>
      <c r="F480" s="42"/>
      <c r="G480" s="30" t="s">
        <v>7</v>
      </c>
      <c r="H480" s="184">
        <f>'Input (2) &amp; Process (1)'!H41</f>
        <v>0.1</v>
      </c>
      <c r="I480" s="32" t="s">
        <v>2</v>
      </c>
      <c r="J480" s="42"/>
      <c r="K480" s="42"/>
    </row>
    <row r="481" spans="1:11" ht="18.75" customHeight="1" x14ac:dyDescent="0.25">
      <c r="A481" s="132"/>
      <c r="B481" s="42" t="s">
        <v>34</v>
      </c>
      <c r="C481" s="42"/>
      <c r="D481" s="42"/>
      <c r="E481" s="42"/>
      <c r="F481" s="42"/>
      <c r="G481" s="30" t="s">
        <v>35</v>
      </c>
      <c r="H481" s="184">
        <f>'Input (2) &amp; Process (1)'!H42</f>
        <v>22</v>
      </c>
      <c r="I481" s="32" t="s">
        <v>32</v>
      </c>
      <c r="J481" s="42"/>
      <c r="K481" s="42"/>
    </row>
    <row r="482" spans="1:11" ht="18.75" customHeight="1" x14ac:dyDescent="0.25">
      <c r="A482" s="132"/>
      <c r="B482" s="42" t="s">
        <v>701</v>
      </c>
      <c r="C482" s="42"/>
      <c r="D482" s="42"/>
      <c r="E482" s="42"/>
      <c r="F482" s="42"/>
      <c r="G482" s="30" t="s">
        <v>711</v>
      </c>
      <c r="H482" s="184">
        <f>'Input (2) &amp; Process (1)'!H43</f>
        <v>4.07</v>
      </c>
      <c r="I482" s="32" t="s">
        <v>702</v>
      </c>
      <c r="J482" s="42"/>
      <c r="K482" s="42"/>
    </row>
    <row r="483" spans="1:11" ht="18.75" customHeight="1" x14ac:dyDescent="0.25">
      <c r="A483" s="132"/>
      <c r="B483" s="42" t="s">
        <v>707</v>
      </c>
      <c r="C483" s="42"/>
      <c r="D483" s="42"/>
      <c r="E483" s="42"/>
      <c r="F483" s="42"/>
      <c r="G483" s="30" t="s">
        <v>709</v>
      </c>
      <c r="H483" s="6">
        <f>'Input (2) &amp; Process (1)'!H44</f>
        <v>814</v>
      </c>
      <c r="I483" s="32" t="s">
        <v>42</v>
      </c>
      <c r="J483" s="42"/>
      <c r="K483" s="42"/>
    </row>
    <row r="484" spans="1:11" ht="18.75" customHeight="1" x14ac:dyDescent="0.25">
      <c r="A484" s="132"/>
      <c r="B484" s="42"/>
      <c r="C484" s="42"/>
      <c r="D484" s="42"/>
      <c r="E484" s="42"/>
      <c r="F484" s="42"/>
      <c r="G484" s="30"/>
      <c r="H484" s="17"/>
      <c r="I484" s="34"/>
      <c r="J484" s="42"/>
      <c r="K484" s="42"/>
    </row>
    <row r="485" spans="1:11" ht="18.75" customHeight="1" x14ac:dyDescent="0.25">
      <c r="A485" s="132" t="s">
        <v>739</v>
      </c>
      <c r="B485" s="328" t="s">
        <v>708</v>
      </c>
      <c r="C485" s="42"/>
      <c r="D485" s="42"/>
      <c r="E485" s="42"/>
      <c r="F485" s="42"/>
      <c r="G485" s="30"/>
      <c r="H485" s="17"/>
      <c r="I485" s="34"/>
      <c r="J485" s="42"/>
      <c r="K485" s="42"/>
    </row>
    <row r="486" spans="1:11" ht="18.75" customHeight="1" x14ac:dyDescent="0.25">
      <c r="A486" s="132"/>
      <c r="B486" s="42" t="s">
        <v>8</v>
      </c>
      <c r="C486" s="42"/>
      <c r="D486" s="42"/>
      <c r="E486" s="42"/>
      <c r="F486" s="42"/>
      <c r="G486" s="30" t="s">
        <v>9</v>
      </c>
      <c r="H486" s="184">
        <f>'Input (2) &amp; Process (1)'!H47</f>
        <v>0.05</v>
      </c>
      <c r="I486" s="32" t="s">
        <v>2</v>
      </c>
      <c r="J486" s="42"/>
      <c r="K486" s="42"/>
    </row>
    <row r="487" spans="1:11" ht="18.75" customHeight="1" x14ac:dyDescent="0.25">
      <c r="A487" s="132"/>
      <c r="B487" s="42" t="s">
        <v>36</v>
      </c>
      <c r="C487" s="42"/>
      <c r="D487" s="42"/>
      <c r="E487" s="42"/>
      <c r="F487" s="42"/>
      <c r="G487" s="30" t="s">
        <v>37</v>
      </c>
      <c r="H487" s="184">
        <f>'Input (2) &amp; Process (1)'!H48</f>
        <v>9.8000000000000007</v>
      </c>
      <c r="I487" s="32" t="s">
        <v>32</v>
      </c>
      <c r="J487" s="42"/>
      <c r="K487" s="42"/>
    </row>
    <row r="488" spans="1:11" ht="18.75" customHeight="1" x14ac:dyDescent="0.25">
      <c r="A488" s="132"/>
      <c r="B488" s="42" t="s">
        <v>703</v>
      </c>
      <c r="C488" s="42"/>
      <c r="D488" s="42"/>
      <c r="E488" s="42"/>
      <c r="F488" s="42"/>
      <c r="G488" s="30" t="s">
        <v>712</v>
      </c>
      <c r="H488" s="184">
        <f>'Input (2) &amp; Process (1)'!H49</f>
        <v>0.90650000000000019</v>
      </c>
      <c r="I488" s="32" t="s">
        <v>702</v>
      </c>
      <c r="J488" s="42"/>
      <c r="K488" s="42"/>
    </row>
    <row r="489" spans="1:11" ht="18.75" customHeight="1" x14ac:dyDescent="0.25">
      <c r="A489" s="132"/>
      <c r="B489" s="42" t="s">
        <v>707</v>
      </c>
      <c r="C489" s="42"/>
      <c r="D489" s="42"/>
      <c r="E489" s="42"/>
      <c r="F489" s="42"/>
      <c r="G489" s="30" t="s">
        <v>710</v>
      </c>
      <c r="H489" s="6">
        <f>'Input (2) &amp; Process (1)'!H50</f>
        <v>181.30000000000004</v>
      </c>
      <c r="I489" s="32" t="s">
        <v>42</v>
      </c>
      <c r="J489" s="42"/>
      <c r="K489" s="42"/>
    </row>
    <row r="490" spans="1:11" ht="18.75" customHeight="1" x14ac:dyDescent="0.25">
      <c r="A490" s="132"/>
      <c r="B490" s="42"/>
      <c r="C490" s="42"/>
      <c r="D490" s="42"/>
      <c r="E490" s="42"/>
      <c r="F490" s="42"/>
      <c r="G490" s="42"/>
      <c r="H490" s="42"/>
      <c r="I490" s="42"/>
      <c r="J490" s="42"/>
      <c r="K490" s="42"/>
    </row>
    <row r="491" spans="1:11" ht="18.75" customHeight="1" x14ac:dyDescent="0.25">
      <c r="A491" s="132" t="s">
        <v>753</v>
      </c>
      <c r="B491" s="328" t="s">
        <v>713</v>
      </c>
      <c r="C491" s="42"/>
      <c r="D491" s="42"/>
      <c r="E491" s="42"/>
      <c r="F491" s="42"/>
      <c r="G491" s="42"/>
      <c r="H491" s="42"/>
      <c r="I491" s="42"/>
      <c r="J491" s="42"/>
      <c r="K491" s="42"/>
    </row>
    <row r="492" spans="1:11" ht="18.75" customHeight="1" x14ac:dyDescent="0.25">
      <c r="A492" s="132"/>
      <c r="B492" s="328" t="s">
        <v>715</v>
      </c>
      <c r="C492" s="42"/>
      <c r="D492" s="42"/>
      <c r="E492" s="42"/>
      <c r="F492" s="42"/>
      <c r="G492" s="42"/>
      <c r="H492" s="42"/>
      <c r="I492" s="42"/>
      <c r="J492" s="42"/>
      <c r="K492" s="42"/>
    </row>
    <row r="493" spans="1:11" ht="18.75" customHeight="1" x14ac:dyDescent="0.25">
      <c r="A493" s="132"/>
      <c r="B493" s="42" t="s">
        <v>20</v>
      </c>
      <c r="C493" s="42"/>
      <c r="D493" s="42"/>
      <c r="E493" s="42"/>
      <c r="F493" s="42"/>
      <c r="G493" s="30" t="s">
        <v>21</v>
      </c>
      <c r="H493" s="184">
        <f>'Input (2) &amp; Process (1)'!H54</f>
        <v>40</v>
      </c>
      <c r="I493" s="32" t="s">
        <v>2</v>
      </c>
      <c r="J493" s="42"/>
      <c r="K493" s="42"/>
    </row>
    <row r="494" spans="1:11" ht="18.75" customHeight="1" x14ac:dyDescent="0.25">
      <c r="A494" s="132"/>
      <c r="B494" s="42" t="s">
        <v>716</v>
      </c>
      <c r="C494" s="42"/>
      <c r="D494" s="42"/>
      <c r="E494" s="42"/>
      <c r="F494" s="42"/>
      <c r="G494" s="30" t="str">
        <f>IF(H493&gt;30,"BTR = 9 * (0,5 +15/L) =","BTR =")</f>
        <v>BTR = 9 * (0,5 +15/L) =</v>
      </c>
      <c r="H494" s="185">
        <f>'Input (2) &amp; Process (1)'!H55</f>
        <v>7.875</v>
      </c>
      <c r="I494" s="32" t="s">
        <v>702</v>
      </c>
      <c r="J494" s="42"/>
      <c r="K494" s="42"/>
    </row>
    <row r="495" spans="1:11" ht="18.75" customHeight="1" x14ac:dyDescent="0.25">
      <c r="A495" s="132"/>
      <c r="B495" s="42" t="s">
        <v>717</v>
      </c>
      <c r="C495" s="42"/>
      <c r="D495" s="42"/>
      <c r="E495" s="42"/>
      <c r="F495" s="42"/>
      <c r="G495" s="30" t="s">
        <v>718</v>
      </c>
      <c r="H495" s="185">
        <f>'Input (2) &amp; Process (1)'!H56</f>
        <v>49</v>
      </c>
      <c r="I495" s="32" t="s">
        <v>39</v>
      </c>
      <c r="J495" s="42"/>
      <c r="K495" s="42"/>
    </row>
    <row r="496" spans="1:11" ht="18.75" customHeight="1" x14ac:dyDescent="0.25">
      <c r="A496" s="132"/>
      <c r="B496" s="42" t="s">
        <v>719</v>
      </c>
      <c r="C496" s="42"/>
      <c r="D496" s="42"/>
      <c r="E496" s="42"/>
      <c r="F496" s="42"/>
      <c r="G496" s="30"/>
      <c r="H496" s="187"/>
      <c r="I496" s="34"/>
      <c r="J496" s="42"/>
      <c r="K496" s="42"/>
    </row>
    <row r="497" spans="1:11" ht="18.75" customHeight="1" x14ac:dyDescent="0.25">
      <c r="A497" s="132"/>
      <c r="B497" s="34" t="s">
        <v>720</v>
      </c>
      <c r="C497" s="42"/>
      <c r="D497" s="42"/>
      <c r="E497" s="42"/>
      <c r="F497" s="42"/>
      <c r="G497" s="30" t="s">
        <v>721</v>
      </c>
      <c r="H497" s="186">
        <f>'Input (2) &amp; Process (1)'!H58</f>
        <v>0.4</v>
      </c>
      <c r="I497" s="34"/>
      <c r="J497" s="42"/>
      <c r="K497" s="42"/>
    </row>
    <row r="498" spans="1:11" ht="18.75" customHeight="1" x14ac:dyDescent="0.25">
      <c r="A498" s="132"/>
      <c r="B498" s="34" t="s">
        <v>722</v>
      </c>
      <c r="C498" s="42"/>
      <c r="D498" s="42"/>
      <c r="E498" s="42"/>
      <c r="F498" s="42"/>
      <c r="G498" s="30" t="s">
        <v>721</v>
      </c>
      <c r="H498" s="186" t="str">
        <f>'Input (2) &amp; Process (1)'!H59</f>
        <v>-</v>
      </c>
      <c r="I498" s="34"/>
      <c r="J498" s="42"/>
      <c r="K498" s="42"/>
    </row>
    <row r="499" spans="1:11" ht="18.75" customHeight="1" x14ac:dyDescent="0.25">
      <c r="A499" s="132"/>
      <c r="B499" s="34" t="s">
        <v>723</v>
      </c>
      <c r="C499" s="42"/>
      <c r="D499" s="42"/>
      <c r="E499" s="42"/>
      <c r="F499" s="42"/>
      <c r="G499" s="30" t="s">
        <v>721</v>
      </c>
      <c r="H499" s="186" t="str">
        <f>'Input (2) &amp; Process (1)'!H60</f>
        <v>-</v>
      </c>
      <c r="I499" s="34"/>
      <c r="J499" s="42"/>
      <c r="K499" s="42"/>
    </row>
    <row r="500" spans="1:11" ht="18.75" customHeight="1" x14ac:dyDescent="0.25">
      <c r="A500" s="132"/>
      <c r="B500" s="42"/>
      <c r="C500" s="42"/>
      <c r="D500" s="42"/>
      <c r="E500" s="42"/>
      <c r="F500" s="42"/>
      <c r="G500" s="30" t="s">
        <v>724</v>
      </c>
      <c r="H500" s="186">
        <f>'Input (2) &amp; Process (1)'!H61</f>
        <v>0.4</v>
      </c>
      <c r="I500" s="34"/>
      <c r="J500" s="42"/>
      <c r="K500" s="42"/>
    </row>
    <row r="501" spans="1:11" ht="18.75" customHeight="1" x14ac:dyDescent="0.25">
      <c r="A501" s="132"/>
      <c r="B501" s="42" t="s">
        <v>717</v>
      </c>
      <c r="C501" s="42"/>
      <c r="D501" s="42"/>
      <c r="E501" s="42"/>
      <c r="F501" s="42"/>
      <c r="G501" s="30" t="s">
        <v>725</v>
      </c>
      <c r="H501" s="185">
        <f>'Input (2) &amp; Process (1)'!H62</f>
        <v>68.599999999999994</v>
      </c>
      <c r="I501" s="32" t="s">
        <v>39</v>
      </c>
      <c r="J501" s="42"/>
      <c r="K501" s="42"/>
    </row>
    <row r="502" spans="1:11" ht="18.75" customHeight="1" x14ac:dyDescent="0.25">
      <c r="A502" s="132"/>
      <c r="B502" s="42" t="s">
        <v>455</v>
      </c>
      <c r="C502" s="42"/>
      <c r="D502" s="42"/>
      <c r="E502" s="42"/>
      <c r="F502" s="42"/>
      <c r="G502" s="42"/>
      <c r="H502" s="42"/>
      <c r="I502" s="42"/>
      <c r="J502" s="42"/>
      <c r="K502" s="42"/>
    </row>
    <row r="503" spans="1:11" ht="18.75" customHeight="1" x14ac:dyDescent="0.25">
      <c r="A503" s="132"/>
      <c r="B503" s="42"/>
      <c r="C503" s="42"/>
      <c r="D503" s="42"/>
      <c r="E503" s="42"/>
      <c r="F503" s="42"/>
      <c r="G503" s="30" t="s">
        <v>779</v>
      </c>
      <c r="H503" s="6">
        <f>'Input (2) &amp; Process (1)'!H64</f>
        <v>4182.8500000000004</v>
      </c>
      <c r="I503" s="32" t="s">
        <v>42</v>
      </c>
      <c r="J503" s="42"/>
      <c r="K503" s="42"/>
    </row>
    <row r="504" spans="1:11" ht="18.75" customHeight="1" x14ac:dyDescent="0.25">
      <c r="A504" s="132"/>
      <c r="B504" s="42"/>
      <c r="C504" s="42"/>
      <c r="D504" s="42"/>
      <c r="E504" s="42"/>
      <c r="F504" s="42"/>
      <c r="G504" s="42"/>
      <c r="H504" s="42"/>
      <c r="I504" s="42"/>
      <c r="J504" s="42"/>
      <c r="K504" s="42"/>
    </row>
    <row r="505" spans="1:11" ht="18.75" customHeight="1" x14ac:dyDescent="0.25">
      <c r="A505" s="132"/>
      <c r="B505" s="42"/>
      <c r="C505" s="42"/>
      <c r="D505" s="42"/>
      <c r="E505" s="42"/>
      <c r="F505" s="42"/>
      <c r="G505" s="42"/>
      <c r="H505" s="42"/>
      <c r="I505" s="42"/>
      <c r="J505" s="42"/>
      <c r="K505" s="42"/>
    </row>
    <row r="506" spans="1:11" ht="18.75" customHeight="1" x14ac:dyDescent="0.25">
      <c r="A506" s="132"/>
      <c r="B506" s="42"/>
      <c r="C506" s="42"/>
      <c r="D506" s="42"/>
      <c r="E506" s="42"/>
      <c r="F506" s="42"/>
      <c r="G506" s="42"/>
      <c r="H506" s="42"/>
      <c r="I506" s="42"/>
      <c r="J506" s="42"/>
      <c r="K506" s="42"/>
    </row>
    <row r="507" spans="1:11" ht="18.75" customHeight="1" x14ac:dyDescent="0.25">
      <c r="A507" s="132"/>
      <c r="B507" s="42"/>
      <c r="C507" s="42"/>
      <c r="D507" s="42"/>
      <c r="E507" s="42"/>
      <c r="F507" s="42"/>
      <c r="G507" s="42"/>
      <c r="H507" s="42"/>
      <c r="I507" s="42"/>
      <c r="J507" s="42"/>
      <c r="K507" s="42"/>
    </row>
    <row r="508" spans="1:11" ht="18.75" customHeight="1" x14ac:dyDescent="0.25">
      <c r="A508" s="132"/>
      <c r="B508" s="42"/>
      <c r="C508" s="42"/>
      <c r="D508" s="42"/>
      <c r="E508" s="42"/>
      <c r="F508" s="42"/>
      <c r="G508" s="42"/>
      <c r="H508" s="42"/>
      <c r="I508" s="42"/>
      <c r="J508" s="42"/>
      <c r="K508" s="42"/>
    </row>
    <row r="509" spans="1:11" ht="18.75" customHeight="1" x14ac:dyDescent="0.25">
      <c r="A509" s="132"/>
      <c r="B509" s="42"/>
      <c r="C509" s="42"/>
      <c r="D509" s="42"/>
      <c r="E509" s="42"/>
      <c r="F509" s="42"/>
      <c r="G509" s="42"/>
      <c r="H509" s="42"/>
      <c r="I509" s="42"/>
      <c r="J509" s="42"/>
      <c r="K509" s="42"/>
    </row>
    <row r="510" spans="1:11" ht="18.75" customHeight="1" x14ac:dyDescent="0.25">
      <c r="A510" s="132"/>
      <c r="B510" s="42"/>
      <c r="C510" s="42"/>
      <c r="D510" s="42"/>
      <c r="E510" s="42"/>
      <c r="F510" s="42"/>
      <c r="G510" s="42"/>
      <c r="H510" s="42"/>
      <c r="I510" s="42"/>
      <c r="J510" s="42"/>
      <c r="K510" s="42"/>
    </row>
    <row r="511" spans="1:11" ht="18.75" customHeight="1" x14ac:dyDescent="0.25">
      <c r="A511" s="132"/>
      <c r="B511" s="42"/>
      <c r="C511" s="42"/>
      <c r="D511" s="42"/>
      <c r="E511" s="42"/>
      <c r="F511" s="42"/>
      <c r="G511" s="42"/>
      <c r="H511" s="42"/>
      <c r="I511" s="42"/>
      <c r="J511" s="42"/>
      <c r="K511" s="42"/>
    </row>
    <row r="512" spans="1:11" ht="18.75" customHeight="1" x14ac:dyDescent="0.25">
      <c r="A512" s="132"/>
      <c r="B512" s="42"/>
      <c r="C512" s="42"/>
      <c r="D512" s="42"/>
      <c r="E512" s="42"/>
      <c r="F512" s="42"/>
      <c r="G512" s="42"/>
      <c r="H512" s="42"/>
      <c r="I512" s="42"/>
      <c r="J512" s="42"/>
      <c r="K512" s="42"/>
    </row>
    <row r="513" spans="1:11" ht="18.75" customHeight="1" x14ac:dyDescent="0.25">
      <c r="A513" s="132"/>
      <c r="B513" s="42"/>
      <c r="C513" s="42"/>
      <c r="D513" s="42"/>
      <c r="E513" s="42"/>
      <c r="F513" s="42"/>
      <c r="G513" s="42"/>
      <c r="H513" s="42"/>
      <c r="I513" s="42"/>
      <c r="J513" s="42"/>
      <c r="K513" s="42"/>
    </row>
    <row r="514" spans="1:11" ht="18.75" customHeight="1" x14ac:dyDescent="0.25">
      <c r="A514" s="132"/>
      <c r="B514" s="42"/>
      <c r="C514" s="42"/>
      <c r="D514" s="42"/>
      <c r="E514" s="42"/>
      <c r="F514" s="42"/>
      <c r="G514" s="42"/>
      <c r="H514" s="42"/>
      <c r="I514" s="42"/>
      <c r="J514" s="42"/>
      <c r="K514" s="42"/>
    </row>
    <row r="515" spans="1:11" ht="18.75" customHeight="1" x14ac:dyDescent="0.25">
      <c r="A515" s="132"/>
      <c r="B515" s="328" t="s">
        <v>728</v>
      </c>
      <c r="C515" s="42"/>
      <c r="D515" s="42"/>
      <c r="E515" s="42"/>
      <c r="F515" s="42"/>
      <c r="G515" s="42"/>
      <c r="H515" s="42"/>
      <c r="I515" s="42"/>
      <c r="J515" s="42"/>
      <c r="K515" s="42"/>
    </row>
    <row r="516" spans="1:11" ht="18.75" customHeight="1" x14ac:dyDescent="0.25">
      <c r="A516" s="132"/>
      <c r="B516" s="328"/>
      <c r="C516" s="42"/>
      <c r="D516" s="42"/>
      <c r="E516" s="42"/>
      <c r="F516" s="42"/>
      <c r="G516" s="324"/>
      <c r="H516" s="31"/>
      <c r="I516" s="32"/>
      <c r="J516" s="42"/>
      <c r="K516" s="42"/>
    </row>
    <row r="517" spans="1:11" ht="18.75" customHeight="1" x14ac:dyDescent="0.25">
      <c r="A517" s="132"/>
      <c r="B517" s="328"/>
      <c r="C517" s="42"/>
      <c r="D517" s="42"/>
      <c r="E517" s="42"/>
      <c r="F517" s="42"/>
      <c r="G517" s="324"/>
      <c r="H517" s="31"/>
      <c r="I517" s="32"/>
      <c r="J517" s="42"/>
      <c r="K517" s="42"/>
    </row>
    <row r="518" spans="1:11" ht="18.75" customHeight="1" x14ac:dyDescent="0.25">
      <c r="A518" s="132"/>
      <c r="B518" s="328"/>
      <c r="C518" s="42"/>
      <c r="D518" s="42"/>
      <c r="E518" s="42"/>
      <c r="F518" s="42"/>
      <c r="G518" s="324"/>
      <c r="H518" s="31"/>
      <c r="I518" s="32"/>
      <c r="J518" s="42"/>
      <c r="K518" s="42"/>
    </row>
    <row r="519" spans="1:11" ht="18.75" customHeight="1" x14ac:dyDescent="0.25">
      <c r="A519" s="132"/>
      <c r="B519" s="328"/>
      <c r="C519" s="42"/>
      <c r="D519" s="42"/>
      <c r="E519" s="42"/>
      <c r="F519" s="42"/>
      <c r="G519" s="324"/>
      <c r="H519" s="31"/>
      <c r="I519" s="32"/>
      <c r="J519" s="42"/>
      <c r="K519" s="42"/>
    </row>
    <row r="520" spans="1:11" ht="18.75" customHeight="1" x14ac:dyDescent="0.25">
      <c r="A520" s="132"/>
      <c r="B520" s="328"/>
      <c r="C520" s="42"/>
      <c r="D520" s="42"/>
      <c r="E520" s="42"/>
      <c r="F520" s="42"/>
      <c r="G520" s="324"/>
      <c r="H520" s="31"/>
      <c r="I520" s="32"/>
      <c r="J520" s="42"/>
      <c r="K520" s="42"/>
    </row>
    <row r="521" spans="1:11" ht="18.75" customHeight="1" x14ac:dyDescent="0.25">
      <c r="A521" s="132"/>
      <c r="B521" s="328"/>
      <c r="C521" s="42"/>
      <c r="D521" s="42"/>
      <c r="E521" s="42"/>
      <c r="F521" s="42"/>
      <c r="G521" s="324"/>
      <c r="H521" s="31"/>
      <c r="I521" s="32"/>
      <c r="J521" s="42"/>
      <c r="K521" s="42"/>
    </row>
    <row r="522" spans="1:11" ht="18.75" customHeight="1" x14ac:dyDescent="0.25">
      <c r="A522" s="132"/>
      <c r="B522" s="328"/>
      <c r="C522" s="42"/>
      <c r="D522" s="42"/>
      <c r="E522" s="42"/>
      <c r="F522" s="42"/>
      <c r="G522" s="324"/>
      <c r="H522" s="31"/>
      <c r="I522" s="32"/>
      <c r="J522" s="42"/>
      <c r="K522" s="42"/>
    </row>
    <row r="523" spans="1:11" ht="18.75" customHeight="1" x14ac:dyDescent="0.25">
      <c r="A523" s="132"/>
      <c r="B523" s="328"/>
      <c r="C523" s="42"/>
      <c r="D523" s="42"/>
      <c r="E523" s="42"/>
      <c r="F523" s="42"/>
      <c r="G523" s="324"/>
      <c r="H523" s="31"/>
      <c r="I523" s="32"/>
      <c r="J523" s="42"/>
      <c r="K523" s="42"/>
    </row>
    <row r="524" spans="1:11" ht="18.75" customHeight="1" x14ac:dyDescent="0.25">
      <c r="A524" s="132"/>
      <c r="B524" s="328"/>
      <c r="C524" s="42"/>
      <c r="D524" s="42"/>
      <c r="E524" s="42"/>
      <c r="F524" s="42"/>
      <c r="G524" s="324"/>
      <c r="H524" s="31"/>
      <c r="I524" s="32"/>
      <c r="J524" s="42"/>
      <c r="K524" s="42"/>
    </row>
    <row r="525" spans="1:11" ht="18.75" customHeight="1" x14ac:dyDescent="0.25">
      <c r="A525" s="132"/>
      <c r="B525" s="328"/>
      <c r="C525" s="42"/>
      <c r="D525" s="42"/>
      <c r="E525" s="42"/>
      <c r="F525" s="42"/>
      <c r="G525" s="324"/>
      <c r="H525" s="31"/>
      <c r="I525" s="32"/>
      <c r="J525" s="42"/>
      <c r="K525" s="42"/>
    </row>
    <row r="526" spans="1:11" ht="18.75" customHeight="1" x14ac:dyDescent="0.25">
      <c r="A526" s="132"/>
      <c r="B526" s="328"/>
      <c r="C526" s="42"/>
      <c r="D526" s="42"/>
      <c r="E526" s="42"/>
      <c r="F526" s="42"/>
      <c r="G526" s="324"/>
      <c r="H526" s="31"/>
      <c r="I526" s="32"/>
      <c r="J526" s="42"/>
      <c r="K526" s="42"/>
    </row>
    <row r="527" spans="1:11" ht="18.75" customHeight="1" x14ac:dyDescent="0.25">
      <c r="A527" s="132"/>
      <c r="B527" s="328"/>
      <c r="C527" s="42"/>
      <c r="D527" s="42"/>
      <c r="E527" s="42"/>
      <c r="F527" s="42"/>
      <c r="G527" s="324"/>
      <c r="H527" s="31"/>
      <c r="I527" s="32"/>
      <c r="J527" s="42"/>
      <c r="K527" s="42"/>
    </row>
    <row r="528" spans="1:11" ht="18.75" customHeight="1" x14ac:dyDescent="0.25">
      <c r="A528" s="132"/>
      <c r="B528" s="328"/>
      <c r="C528" s="42"/>
      <c r="D528" s="42"/>
      <c r="E528" s="42"/>
      <c r="F528" s="42"/>
      <c r="G528" s="324"/>
      <c r="H528" s="31"/>
      <c r="I528" s="32"/>
      <c r="J528" s="42"/>
      <c r="K528" s="42"/>
    </row>
    <row r="529" spans="1:11" ht="18.75" customHeight="1" x14ac:dyDescent="0.25">
      <c r="A529" s="132"/>
      <c r="B529" s="119" t="s">
        <v>726</v>
      </c>
      <c r="C529" s="42"/>
      <c r="D529" s="42"/>
      <c r="E529" s="42"/>
      <c r="F529" s="42"/>
      <c r="G529" s="324" t="s">
        <v>727</v>
      </c>
      <c r="H529" s="207">
        <f>'Input (2) &amp; Process (1)'!H80</f>
        <v>500</v>
      </c>
      <c r="I529" s="32" t="s">
        <v>40</v>
      </c>
      <c r="J529" s="42"/>
      <c r="K529" s="42"/>
    </row>
    <row r="530" spans="1:11" ht="18.75" customHeight="1" x14ac:dyDescent="0.25">
      <c r="A530" s="132"/>
      <c r="B530" s="119" t="s">
        <v>719</v>
      </c>
      <c r="C530" s="42"/>
      <c r="D530" s="42"/>
      <c r="E530" s="42"/>
      <c r="F530" s="42"/>
      <c r="G530" s="30" t="s">
        <v>721</v>
      </c>
      <c r="H530" s="188">
        <f>'Input (2) &amp; Process (1)'!H81</f>
        <v>0.3</v>
      </c>
      <c r="I530" s="32"/>
      <c r="J530" s="42"/>
      <c r="K530" s="42"/>
    </row>
    <row r="531" spans="1:11" ht="18.75" customHeight="1" x14ac:dyDescent="0.25">
      <c r="A531" s="132"/>
      <c r="B531" s="42" t="s">
        <v>455</v>
      </c>
      <c r="C531" s="42"/>
      <c r="D531" s="42"/>
      <c r="E531" s="42"/>
      <c r="F531" s="42"/>
      <c r="G531" s="30" t="s">
        <v>732</v>
      </c>
      <c r="H531" s="6">
        <f>'Input (2) &amp; Process (1)'!H82</f>
        <v>2875.4180000000001</v>
      </c>
      <c r="I531" s="32" t="s">
        <v>42</v>
      </c>
      <c r="J531" s="42"/>
      <c r="K531" s="42"/>
    </row>
    <row r="532" spans="1:11" ht="18.75" customHeight="1" x14ac:dyDescent="0.25">
      <c r="A532" s="132"/>
      <c r="B532" s="42"/>
      <c r="C532" s="42"/>
      <c r="D532" s="42"/>
      <c r="E532" s="42"/>
      <c r="F532" s="42"/>
      <c r="G532" s="42"/>
      <c r="H532" s="42"/>
      <c r="I532" s="42"/>
      <c r="J532" s="42"/>
      <c r="K532" s="42"/>
    </row>
    <row r="533" spans="1:11" ht="18.75" customHeight="1" x14ac:dyDescent="0.25">
      <c r="A533" s="132"/>
      <c r="B533" s="328" t="s">
        <v>714</v>
      </c>
      <c r="C533" s="42"/>
      <c r="D533" s="42"/>
      <c r="E533" s="42"/>
      <c r="F533" s="42"/>
      <c r="G533" s="42"/>
      <c r="H533" s="42"/>
      <c r="I533" s="42"/>
      <c r="J533" s="42"/>
      <c r="K533" s="42"/>
    </row>
    <row r="534" spans="1:11" ht="18.75" customHeight="1" x14ac:dyDescent="0.25">
      <c r="A534" s="132"/>
      <c r="B534" s="42"/>
      <c r="C534" s="42"/>
      <c r="D534" s="42"/>
      <c r="E534" s="42"/>
      <c r="F534" s="42"/>
      <c r="G534" s="30"/>
      <c r="H534" s="31"/>
      <c r="I534" s="32"/>
      <c r="J534" s="42"/>
      <c r="K534" s="42"/>
    </row>
    <row r="535" spans="1:11" ht="18.75" customHeight="1" x14ac:dyDescent="0.25">
      <c r="A535" s="132"/>
      <c r="B535" s="42"/>
      <c r="C535" s="42"/>
      <c r="D535" s="42"/>
      <c r="E535" s="42"/>
      <c r="F535" s="42"/>
      <c r="G535" s="30"/>
      <c r="H535" s="31"/>
      <c r="I535" s="32"/>
      <c r="J535" s="42"/>
      <c r="K535" s="42"/>
    </row>
    <row r="536" spans="1:11" ht="18.75" customHeight="1" x14ac:dyDescent="0.25">
      <c r="A536" s="132"/>
      <c r="B536" s="42"/>
      <c r="C536" s="42"/>
      <c r="D536" s="42"/>
      <c r="E536" s="42"/>
      <c r="F536" s="42"/>
      <c r="G536" s="30"/>
      <c r="H536" s="31"/>
      <c r="I536" s="32"/>
      <c r="J536" s="42"/>
      <c r="K536" s="42"/>
    </row>
    <row r="537" spans="1:11" ht="18.75" customHeight="1" x14ac:dyDescent="0.25">
      <c r="A537" s="132"/>
      <c r="B537" s="42"/>
      <c r="C537" s="42"/>
      <c r="D537" s="42"/>
      <c r="E537" s="42"/>
      <c r="F537" s="42"/>
      <c r="G537" s="30"/>
      <c r="H537" s="31"/>
      <c r="I537" s="32"/>
      <c r="J537" s="42"/>
      <c r="K537" s="42"/>
    </row>
    <row r="538" spans="1:11" ht="18.75" customHeight="1" x14ac:dyDescent="0.25">
      <c r="A538" s="132"/>
      <c r="B538" s="42"/>
      <c r="C538" s="42"/>
      <c r="D538" s="42"/>
      <c r="E538" s="42"/>
      <c r="F538" s="42"/>
      <c r="G538" s="30"/>
      <c r="H538" s="31"/>
      <c r="I538" s="32"/>
      <c r="J538" s="42"/>
      <c r="K538" s="42"/>
    </row>
    <row r="539" spans="1:11" ht="18.75" customHeight="1" x14ac:dyDescent="0.25">
      <c r="A539" s="132"/>
      <c r="B539" s="42"/>
      <c r="C539" s="42"/>
      <c r="D539" s="42"/>
      <c r="E539" s="42"/>
      <c r="F539" s="42"/>
      <c r="G539" s="30"/>
      <c r="H539" s="31"/>
      <c r="I539" s="32"/>
      <c r="J539" s="42"/>
      <c r="K539" s="42"/>
    </row>
    <row r="540" spans="1:11" ht="18.75" customHeight="1" x14ac:dyDescent="0.25">
      <c r="A540" s="132"/>
      <c r="B540" s="42"/>
      <c r="C540" s="42"/>
      <c r="D540" s="42"/>
      <c r="E540" s="42"/>
      <c r="F540" s="42"/>
      <c r="G540" s="30"/>
      <c r="H540" s="31"/>
      <c r="I540" s="32"/>
      <c r="J540" s="42"/>
      <c r="K540" s="42"/>
    </row>
    <row r="541" spans="1:11" ht="18.75" customHeight="1" x14ac:dyDescent="0.25">
      <c r="A541" s="132"/>
      <c r="B541" s="42"/>
      <c r="C541" s="42"/>
      <c r="D541" s="42"/>
      <c r="E541" s="42"/>
      <c r="F541" s="42"/>
      <c r="G541" s="30"/>
      <c r="H541" s="31"/>
      <c r="I541" s="32"/>
      <c r="J541" s="42"/>
      <c r="K541" s="42"/>
    </row>
    <row r="542" spans="1:11" ht="18.75" customHeight="1" x14ac:dyDescent="0.25">
      <c r="A542" s="132"/>
      <c r="B542" s="42"/>
      <c r="C542" s="42"/>
      <c r="D542" s="42"/>
      <c r="E542" s="42"/>
      <c r="F542" s="42"/>
      <c r="G542" s="30"/>
      <c r="H542" s="31"/>
      <c r="I542" s="32"/>
      <c r="J542" s="42"/>
      <c r="K542" s="42"/>
    </row>
    <row r="543" spans="1:11" ht="18.75" customHeight="1" x14ac:dyDescent="0.25">
      <c r="A543" s="132"/>
      <c r="B543" s="524" t="s">
        <v>740</v>
      </c>
      <c r="C543" s="287"/>
      <c r="D543" s="287"/>
      <c r="E543" s="287"/>
      <c r="F543" s="287"/>
      <c r="G543" s="288" t="s">
        <v>41</v>
      </c>
      <c r="H543" s="51">
        <f>'Input (2) &amp; Process (1)'!H94</f>
        <v>1.8</v>
      </c>
      <c r="I543" s="32" t="s">
        <v>2</v>
      </c>
      <c r="J543" s="42"/>
      <c r="K543" s="42"/>
    </row>
    <row r="544" spans="1:11" ht="18.75" customHeight="1" x14ac:dyDescent="0.35">
      <c r="A544" s="132"/>
      <c r="B544" s="119" t="s">
        <v>741</v>
      </c>
      <c r="C544" s="287"/>
      <c r="D544" s="287"/>
      <c r="E544" s="287"/>
      <c r="F544" s="287"/>
      <c r="G544" s="288" t="s">
        <v>878</v>
      </c>
      <c r="H544" s="70">
        <f>'Input (2) &amp; Process (1)'!H95</f>
        <v>125</v>
      </c>
      <c r="I544" s="32" t="s">
        <v>40</v>
      </c>
      <c r="J544" s="42"/>
      <c r="K544" s="42"/>
    </row>
    <row r="545" spans="1:11" ht="18.75" customHeight="1" x14ac:dyDescent="0.35">
      <c r="A545" s="132"/>
      <c r="B545" s="119" t="s">
        <v>742</v>
      </c>
      <c r="C545" s="287"/>
      <c r="D545" s="287"/>
      <c r="E545" s="287"/>
      <c r="F545" s="287"/>
      <c r="G545" s="288" t="s">
        <v>879</v>
      </c>
      <c r="H545" s="70">
        <f>'Input (2) &amp; Process (1)'!H96</f>
        <v>283.51500000000004</v>
      </c>
      <c r="I545" s="32" t="s">
        <v>40</v>
      </c>
      <c r="J545" s="42"/>
      <c r="K545" s="42"/>
    </row>
    <row r="546" spans="1:11" ht="18.75" customHeight="1" x14ac:dyDescent="0.25">
      <c r="A546" s="132"/>
      <c r="B546" s="119" t="s">
        <v>880</v>
      </c>
      <c r="C546" s="287"/>
      <c r="D546" s="287"/>
      <c r="E546" s="287"/>
      <c r="F546" s="287"/>
      <c r="G546" s="288" t="s">
        <v>881</v>
      </c>
      <c r="H546" s="70">
        <f>'Input (2) &amp; Process (1)'!H97</f>
        <v>283.51500000000004</v>
      </c>
      <c r="I546" s="32" t="s">
        <v>40</v>
      </c>
      <c r="J546" s="42"/>
      <c r="K546" s="42"/>
    </row>
    <row r="547" spans="1:11" ht="18.75" customHeight="1" x14ac:dyDescent="0.25">
      <c r="A547" s="532"/>
      <c r="B547" s="42" t="s">
        <v>18</v>
      </c>
      <c r="C547" s="42"/>
      <c r="D547" s="42"/>
      <c r="E547" s="42"/>
      <c r="F547" s="42"/>
      <c r="G547" s="30" t="s">
        <v>19</v>
      </c>
      <c r="H547" s="47">
        <f>'Input (2) &amp; Process (1)'!H98</f>
        <v>11</v>
      </c>
      <c r="I547" s="32" t="s">
        <v>2</v>
      </c>
      <c r="J547" s="42"/>
      <c r="K547" s="42"/>
    </row>
    <row r="548" spans="1:11" ht="18.75" customHeight="1" x14ac:dyDescent="0.25">
      <c r="A548" s="532"/>
      <c r="B548" s="42" t="s">
        <v>883</v>
      </c>
      <c r="C548" s="42"/>
      <c r="D548" s="42"/>
      <c r="E548" s="42"/>
      <c r="F548" s="42"/>
      <c r="G548" s="30" t="s">
        <v>11</v>
      </c>
      <c r="H548" s="47">
        <f>'Input (2) &amp; Process (1)'!H99</f>
        <v>1.85</v>
      </c>
      <c r="I548" s="32" t="s">
        <v>2</v>
      </c>
      <c r="J548" s="42"/>
      <c r="K548" s="42"/>
    </row>
    <row r="549" spans="1:11" ht="18.75" customHeight="1" x14ac:dyDescent="0.25">
      <c r="A549" s="132"/>
      <c r="B549" s="119" t="s">
        <v>882</v>
      </c>
      <c r="C549" s="287"/>
      <c r="D549" s="287"/>
      <c r="E549" s="287"/>
      <c r="F549" s="287"/>
      <c r="G549" s="288" t="s">
        <v>132</v>
      </c>
      <c r="H549" s="70">
        <f>'Input (2) &amp; Process (1)'!H100</f>
        <v>6</v>
      </c>
      <c r="I549" s="32"/>
      <c r="J549" s="42"/>
      <c r="K549" s="42"/>
    </row>
    <row r="550" spans="1:11" ht="18.75" customHeight="1" x14ac:dyDescent="0.25">
      <c r="A550" s="132"/>
      <c r="B550" s="119" t="s">
        <v>743</v>
      </c>
      <c r="C550" s="287"/>
      <c r="D550" s="287"/>
      <c r="E550" s="287"/>
      <c r="F550" s="287"/>
      <c r="G550" s="288" t="s">
        <v>748</v>
      </c>
      <c r="H550" s="50">
        <f>'Input (2) &amp; Process (1)'!H101</f>
        <v>47.252500000000005</v>
      </c>
      <c r="I550" s="32" t="s">
        <v>40</v>
      </c>
      <c r="J550" s="42"/>
      <c r="K550" s="42"/>
    </row>
    <row r="551" spans="1:11" ht="18.75" customHeight="1" x14ac:dyDescent="0.25">
      <c r="A551" s="132"/>
      <c r="B551" s="42" t="s">
        <v>744</v>
      </c>
      <c r="C551" s="42"/>
      <c r="D551" s="42"/>
      <c r="E551" s="42"/>
      <c r="F551" s="42"/>
      <c r="G551" s="288" t="s">
        <v>745</v>
      </c>
      <c r="H551" s="50">
        <f>'Input (2) &amp; Process (1)'!H102</f>
        <v>2.8701784669226296</v>
      </c>
      <c r="I551" s="32" t="s">
        <v>2</v>
      </c>
      <c r="J551" s="42"/>
      <c r="K551" s="42"/>
    </row>
    <row r="552" spans="1:11" ht="18.75" customHeight="1" x14ac:dyDescent="0.25">
      <c r="A552" s="132"/>
      <c r="B552" s="42" t="s">
        <v>746</v>
      </c>
      <c r="C552" s="42"/>
      <c r="D552" s="42"/>
      <c r="E552" s="42"/>
      <c r="F552" s="42"/>
      <c r="G552" s="30" t="s">
        <v>747</v>
      </c>
      <c r="H552" s="70">
        <f>'Input (2) &amp; Process (1)'!H103</f>
        <v>135.62310800826157</v>
      </c>
      <c r="I552" s="32" t="s">
        <v>42</v>
      </c>
      <c r="J552" s="42"/>
      <c r="K552" s="42"/>
    </row>
    <row r="553" spans="1:11" ht="18.75" customHeight="1" x14ac:dyDescent="0.25">
      <c r="A553" s="132"/>
      <c r="B553" s="42" t="s">
        <v>749</v>
      </c>
      <c r="C553" s="42"/>
      <c r="D553" s="42"/>
      <c r="E553" s="42"/>
      <c r="F553" s="42"/>
      <c r="G553" s="30" t="s">
        <v>750</v>
      </c>
      <c r="H553" s="6">
        <f>'Input (2) &amp; Process (1)'!H104</f>
        <v>67.811554004130784</v>
      </c>
      <c r="I553" s="32" t="s">
        <v>42</v>
      </c>
      <c r="J553" s="42"/>
      <c r="K553" s="42"/>
    </row>
    <row r="554" spans="1:11" ht="18.75" customHeight="1" x14ac:dyDescent="0.25">
      <c r="A554" s="132"/>
      <c r="B554" s="42"/>
      <c r="C554" s="42"/>
      <c r="D554" s="42"/>
      <c r="E554" s="42"/>
      <c r="F554" s="42"/>
      <c r="G554" s="42"/>
      <c r="H554" s="42"/>
      <c r="I554" s="42"/>
      <c r="J554" s="42"/>
      <c r="K554" s="42"/>
    </row>
    <row r="555" spans="1:11" ht="18.75" customHeight="1" x14ac:dyDescent="0.25">
      <c r="A555" s="132" t="s">
        <v>791</v>
      </c>
      <c r="B555" s="328" t="s">
        <v>755</v>
      </c>
      <c r="C555" s="42"/>
      <c r="D555" s="42"/>
      <c r="E555" s="42"/>
      <c r="F555" s="42"/>
      <c r="G555" s="42"/>
      <c r="H555" s="42"/>
      <c r="I555" s="42"/>
      <c r="J555" s="42"/>
      <c r="K555" s="42"/>
    </row>
    <row r="556" spans="1:11" ht="18.75" customHeight="1" x14ac:dyDescent="0.25">
      <c r="A556" s="132"/>
      <c r="B556" s="328" t="s">
        <v>754</v>
      </c>
      <c r="C556" s="42"/>
      <c r="D556" s="42"/>
      <c r="E556" s="42"/>
      <c r="F556" s="42"/>
      <c r="G556" s="42"/>
      <c r="H556" s="42"/>
      <c r="I556" s="42"/>
      <c r="J556" s="42"/>
      <c r="K556" s="42"/>
    </row>
    <row r="557" spans="1:11" ht="18.75" customHeight="1" x14ac:dyDescent="0.25">
      <c r="A557" s="132"/>
      <c r="B557" s="89" t="s">
        <v>780</v>
      </c>
      <c r="C557" s="42"/>
      <c r="D557" s="42"/>
      <c r="E557" s="42"/>
      <c r="F557" s="42"/>
      <c r="G557" s="30" t="s">
        <v>782</v>
      </c>
      <c r="H557" s="207">
        <f>'Input (2) &amp; Process (1)'!H109</f>
        <v>1.8</v>
      </c>
      <c r="I557" s="32" t="s">
        <v>2</v>
      </c>
      <c r="J557" s="42"/>
      <c r="K557" s="42"/>
    </row>
    <row r="558" spans="1:11" ht="18.75" customHeight="1" x14ac:dyDescent="0.25">
      <c r="A558" s="132"/>
      <c r="B558" s="89" t="s">
        <v>786</v>
      </c>
      <c r="C558" s="42"/>
      <c r="D558" s="42"/>
      <c r="E558" s="42"/>
      <c r="F558" s="42"/>
      <c r="G558" s="30" t="s">
        <v>787</v>
      </c>
      <c r="H558" s="207">
        <f>'Input (2) &amp; Process (1)'!H110</f>
        <v>1.75</v>
      </c>
      <c r="I558" s="32" t="s">
        <v>2</v>
      </c>
      <c r="J558" s="42"/>
      <c r="K558" s="42"/>
    </row>
    <row r="559" spans="1:11" ht="18.75" customHeight="1" x14ac:dyDescent="0.25">
      <c r="A559" s="132"/>
      <c r="B559" s="89" t="s">
        <v>781</v>
      </c>
      <c r="C559" s="42"/>
      <c r="D559" s="42"/>
      <c r="E559" s="42"/>
      <c r="F559" s="42"/>
      <c r="G559" s="30" t="s">
        <v>783</v>
      </c>
      <c r="H559" s="207">
        <f>'Input (2) &amp; Process (1)'!H111</f>
        <v>1.46</v>
      </c>
      <c r="I559" s="32" t="s">
        <v>39</v>
      </c>
      <c r="J559" s="42"/>
      <c r="K559" s="42"/>
    </row>
    <row r="560" spans="1:11" ht="18.75" customHeight="1" x14ac:dyDescent="0.25">
      <c r="A560" s="132"/>
      <c r="B560" s="89" t="s">
        <v>784</v>
      </c>
      <c r="C560" s="42"/>
      <c r="D560" s="42"/>
      <c r="E560" s="42"/>
      <c r="F560" s="42"/>
      <c r="G560" s="30" t="s">
        <v>785</v>
      </c>
      <c r="H560" s="459">
        <f>'Input (2) &amp; Process (1)'!H112</f>
        <v>0.75085714285714289</v>
      </c>
      <c r="I560" s="32" t="s">
        <v>39</v>
      </c>
      <c r="J560" s="42"/>
      <c r="K560" s="42"/>
    </row>
    <row r="561" spans="1:11" ht="18.75" customHeight="1" x14ac:dyDescent="0.25">
      <c r="A561" s="132"/>
      <c r="B561" s="42" t="s">
        <v>789</v>
      </c>
      <c r="C561" s="42"/>
      <c r="D561" s="42"/>
      <c r="E561" s="42"/>
      <c r="F561" s="42"/>
      <c r="G561" s="30" t="s">
        <v>790</v>
      </c>
      <c r="H561" s="459">
        <f>'Input (2) &amp; Process (1)'!H113</f>
        <v>150.17142857142858</v>
      </c>
      <c r="I561" s="32" t="s">
        <v>42</v>
      </c>
      <c r="J561" s="42"/>
      <c r="K561" s="42"/>
    </row>
    <row r="562" spans="1:11" ht="18.75" customHeight="1" x14ac:dyDescent="0.25">
      <c r="A562" s="132"/>
      <c r="B562" s="42"/>
      <c r="C562" s="42"/>
      <c r="D562" s="42"/>
      <c r="E562" s="42"/>
      <c r="F562" s="42"/>
      <c r="G562" s="42"/>
      <c r="H562" s="42"/>
      <c r="I562" s="42"/>
      <c r="J562" s="42"/>
      <c r="K562" s="42"/>
    </row>
    <row r="563" spans="1:11" ht="18.75" customHeight="1" x14ac:dyDescent="0.25">
      <c r="A563" s="132"/>
      <c r="B563" s="328" t="s">
        <v>756</v>
      </c>
      <c r="C563" s="42"/>
      <c r="D563" s="42"/>
      <c r="E563" s="42"/>
      <c r="F563" s="42"/>
      <c r="G563" s="42"/>
      <c r="H563" s="42"/>
      <c r="I563" s="42"/>
      <c r="J563" s="42"/>
      <c r="K563" s="42"/>
    </row>
    <row r="564" spans="1:11" ht="18.75" customHeight="1" x14ac:dyDescent="0.25">
      <c r="A564" s="132"/>
      <c r="B564" s="89" t="s">
        <v>757</v>
      </c>
      <c r="C564" s="42"/>
      <c r="D564" s="42"/>
      <c r="E564" s="42"/>
      <c r="F564" s="42"/>
      <c r="G564" s="30" t="s">
        <v>41</v>
      </c>
      <c r="H564" s="6">
        <f>'Input (2) &amp; Process (1)'!H116</f>
        <v>2.1</v>
      </c>
      <c r="I564" s="32" t="s">
        <v>2</v>
      </c>
      <c r="J564" s="42"/>
      <c r="K564" s="42"/>
    </row>
    <row r="565" spans="1:11" ht="18.75" customHeight="1" x14ac:dyDescent="0.25">
      <c r="A565" s="132"/>
      <c r="B565" s="42" t="s">
        <v>10</v>
      </c>
      <c r="C565" s="42"/>
      <c r="D565" s="42"/>
      <c r="E565" s="42"/>
      <c r="F565" s="42"/>
      <c r="G565" s="30" t="s">
        <v>11</v>
      </c>
      <c r="H565" s="15">
        <f>'Input (2) &amp; Process (1)'!H117</f>
        <v>1.85</v>
      </c>
      <c r="I565" s="32" t="s">
        <v>2</v>
      </c>
      <c r="J565" s="42"/>
      <c r="K565" s="42"/>
    </row>
    <row r="566" spans="1:11" ht="18.75" customHeight="1" x14ac:dyDescent="0.25">
      <c r="A566" s="132"/>
      <c r="B566" s="42" t="s">
        <v>758</v>
      </c>
      <c r="C566" s="42"/>
      <c r="D566" s="42"/>
      <c r="E566" s="42"/>
      <c r="F566" s="42"/>
      <c r="G566" s="30" t="s">
        <v>759</v>
      </c>
      <c r="H566" s="6">
        <f>'Input (2) &amp; Process (1)'!H118</f>
        <v>1.3798215330773709</v>
      </c>
      <c r="I566" s="32" t="s">
        <v>2</v>
      </c>
      <c r="J566" s="42"/>
      <c r="K566" s="42"/>
    </row>
    <row r="567" spans="1:11" ht="18.75" customHeight="1" x14ac:dyDescent="0.25">
      <c r="A567" s="132"/>
      <c r="B567" s="42" t="s">
        <v>760</v>
      </c>
      <c r="C567" s="42"/>
      <c r="D567" s="42"/>
      <c r="E567" s="42"/>
      <c r="F567" s="42"/>
      <c r="G567" s="30" t="s">
        <v>761</v>
      </c>
      <c r="H567" s="24">
        <f>'Input (2) &amp; Process (1)'!H119</f>
        <v>19.3</v>
      </c>
      <c r="I567" s="32" t="s">
        <v>762</v>
      </c>
      <c r="J567" s="42"/>
      <c r="K567" s="42"/>
    </row>
    <row r="568" spans="1:11" ht="18.75" customHeight="1" x14ac:dyDescent="0.25">
      <c r="A568" s="132"/>
      <c r="B568" s="42" t="s">
        <v>763</v>
      </c>
      <c r="C568" s="42"/>
      <c r="D568" s="42"/>
      <c r="E568" s="42"/>
      <c r="F568" s="42"/>
      <c r="G568" s="30" t="s">
        <v>764</v>
      </c>
      <c r="H568" s="24">
        <f>'Input (2) &amp; Process (1)'!H120</f>
        <v>126</v>
      </c>
      <c r="I568" s="32" t="s">
        <v>762</v>
      </c>
      <c r="J568" s="42"/>
      <c r="K568" s="42"/>
    </row>
    <row r="569" spans="1:11" ht="18.75" customHeight="1" x14ac:dyDescent="0.25">
      <c r="A569" s="132"/>
      <c r="B569" s="42" t="s">
        <v>765</v>
      </c>
      <c r="C569" s="42"/>
      <c r="D569" s="42"/>
      <c r="E569" s="42"/>
      <c r="F569" s="42"/>
      <c r="G569" s="30" t="s">
        <v>766</v>
      </c>
      <c r="H569" s="24">
        <f>'Input (2) &amp; Process (1)'!H121</f>
        <v>90</v>
      </c>
      <c r="I569" s="32" t="s">
        <v>762</v>
      </c>
      <c r="J569" s="42"/>
      <c r="K569" s="42"/>
    </row>
    <row r="570" spans="1:11" ht="18.75" customHeight="1" x14ac:dyDescent="0.25">
      <c r="A570" s="132"/>
      <c r="B570" s="42" t="s">
        <v>22</v>
      </c>
      <c r="C570" s="42"/>
      <c r="D570" s="42"/>
      <c r="E570" s="42"/>
      <c r="F570" s="42"/>
      <c r="G570" s="30" t="s">
        <v>23</v>
      </c>
      <c r="H570" s="24">
        <f>'Input (2) &amp; Process (1)'!H122</f>
        <v>14</v>
      </c>
      <c r="I570" s="32" t="s">
        <v>2</v>
      </c>
      <c r="J570" s="42"/>
      <c r="K570" s="42"/>
    </row>
    <row r="571" spans="1:11" ht="18.75" customHeight="1" x14ac:dyDescent="0.25">
      <c r="A571" s="132"/>
      <c r="B571" s="42" t="s">
        <v>767</v>
      </c>
      <c r="C571" s="42"/>
      <c r="D571" s="42"/>
      <c r="E571" s="42"/>
      <c r="F571" s="42"/>
      <c r="G571" s="30" t="s">
        <v>768</v>
      </c>
      <c r="H571" s="24">
        <f>'Input (2) &amp; Process (1)'!H123</f>
        <v>2500</v>
      </c>
      <c r="I571" s="32" t="s">
        <v>5</v>
      </c>
      <c r="J571" s="42"/>
      <c r="K571" s="42"/>
    </row>
    <row r="572" spans="1:11" ht="18.75" customHeight="1" x14ac:dyDescent="0.25">
      <c r="A572" s="132"/>
      <c r="B572" s="42" t="s">
        <v>769</v>
      </c>
      <c r="C572" s="42"/>
      <c r="D572" s="42"/>
      <c r="E572" s="42"/>
      <c r="F572" s="42"/>
      <c r="G572" s="30" t="s">
        <v>770</v>
      </c>
      <c r="H572" s="25">
        <f>'Input (2) &amp; Process (1)'!H124</f>
        <v>116.37288367741154</v>
      </c>
      <c r="I572" s="32" t="s">
        <v>762</v>
      </c>
      <c r="J572" s="42"/>
      <c r="K572" s="42"/>
    </row>
    <row r="573" spans="1:11" ht="18.75" customHeight="1" x14ac:dyDescent="0.25">
      <c r="A573" s="132"/>
      <c r="B573" s="42" t="s">
        <v>771</v>
      </c>
      <c r="C573" s="42"/>
      <c r="D573" s="42"/>
      <c r="E573" s="42"/>
      <c r="F573" s="42"/>
      <c r="G573" s="30" t="s">
        <v>772</v>
      </c>
      <c r="H573" s="24">
        <f>'Input (2) &amp; Process (1)'!H125</f>
        <v>2.3999999999999998E-3</v>
      </c>
      <c r="I573" s="32" t="s">
        <v>773</v>
      </c>
      <c r="J573" s="42"/>
      <c r="K573" s="42"/>
    </row>
    <row r="574" spans="1:11" ht="18.75" customHeight="1" x14ac:dyDescent="0.25">
      <c r="A574" s="132"/>
      <c r="B574" s="42" t="s">
        <v>774</v>
      </c>
      <c r="C574" s="42"/>
      <c r="D574" s="42"/>
      <c r="E574" s="42"/>
      <c r="F574" s="42"/>
      <c r="G574" s="30" t="s">
        <v>775</v>
      </c>
      <c r="H574" s="21">
        <f>'Input (2) &amp; Process (1)'!H126</f>
        <v>4.0126364608581789E-3</v>
      </c>
      <c r="I574" s="32" t="s">
        <v>773</v>
      </c>
      <c r="J574" s="42"/>
      <c r="K574" s="42"/>
    </row>
    <row r="575" spans="1:11" ht="18.75" customHeight="1" x14ac:dyDescent="0.25">
      <c r="A575" s="132"/>
      <c r="B575" s="42" t="s">
        <v>776</v>
      </c>
      <c r="C575" s="42"/>
      <c r="D575" s="42"/>
      <c r="E575" s="42"/>
      <c r="F575" s="42"/>
      <c r="G575" s="30" t="s">
        <v>777</v>
      </c>
      <c r="H575" s="459">
        <f>'Input (2) &amp; Process (1)'!H127</f>
        <v>8.4265365678021755</v>
      </c>
      <c r="I575" s="32" t="s">
        <v>39</v>
      </c>
      <c r="J575" s="42"/>
      <c r="K575" s="42"/>
    </row>
    <row r="576" spans="1:11" ht="18.75" customHeight="1" x14ac:dyDescent="0.25">
      <c r="A576" s="132"/>
      <c r="B576" s="42" t="s">
        <v>788</v>
      </c>
      <c r="C576" s="42"/>
      <c r="D576" s="42"/>
      <c r="E576" s="42"/>
      <c r="F576" s="42"/>
      <c r="G576" s="30" t="s">
        <v>778</v>
      </c>
      <c r="H576" s="459">
        <f>'Input (2) &amp; Process (1)'!H128</f>
        <v>910.97692624888373</v>
      </c>
      <c r="I576" s="32" t="s">
        <v>42</v>
      </c>
      <c r="J576" s="42"/>
      <c r="K576" s="42"/>
    </row>
    <row r="577" spans="1:11" ht="18.75" customHeight="1" x14ac:dyDescent="0.25">
      <c r="A577" s="132"/>
      <c r="B577" s="42"/>
      <c r="C577" s="42"/>
      <c r="D577" s="42"/>
      <c r="E577" s="42"/>
      <c r="F577" s="42"/>
      <c r="G577" s="42"/>
      <c r="H577" s="42"/>
      <c r="I577" s="42"/>
      <c r="J577" s="42"/>
      <c r="K577" s="42"/>
    </row>
    <row r="578" spans="1:11" ht="18.75" customHeight="1" x14ac:dyDescent="0.25">
      <c r="A578" s="132" t="s">
        <v>812</v>
      </c>
      <c r="B578" s="328" t="s">
        <v>1142</v>
      </c>
      <c r="C578" s="42"/>
      <c r="D578" s="42"/>
      <c r="E578" s="42"/>
      <c r="F578" s="42"/>
      <c r="G578" s="42"/>
      <c r="H578" s="42"/>
      <c r="I578" s="42"/>
      <c r="J578" s="42"/>
      <c r="K578" s="42"/>
    </row>
    <row r="579" spans="1:11" ht="18.75" customHeight="1" x14ac:dyDescent="0.25">
      <c r="A579" s="132"/>
      <c r="B579" s="1" t="s">
        <v>1019</v>
      </c>
      <c r="G579" s="2" t="s">
        <v>1020</v>
      </c>
      <c r="H579" s="459">
        <f>'Input (2) &amp; Process (1)'!H132</f>
        <v>1.3097797297578684</v>
      </c>
      <c r="I579" s="32" t="s">
        <v>2</v>
      </c>
      <c r="J579" s="42"/>
      <c r="K579" s="42"/>
    </row>
    <row r="580" spans="1:11" ht="18.75" customHeight="1" x14ac:dyDescent="0.25">
      <c r="A580" s="132"/>
      <c r="B580" s="1" t="s">
        <v>1015</v>
      </c>
      <c r="G580" s="2" t="s">
        <v>1017</v>
      </c>
      <c r="H580" s="459">
        <f>'Input (2) &amp; Process (1)'!H133</f>
        <v>33234.018715767736</v>
      </c>
      <c r="I580" s="32" t="s">
        <v>28</v>
      </c>
      <c r="J580" s="42"/>
      <c r="K580" s="42"/>
    </row>
    <row r="581" spans="1:11" ht="18.75" customHeight="1" x14ac:dyDescent="0.25">
      <c r="A581" s="132"/>
      <c r="B581" s="42" t="s">
        <v>1016</v>
      </c>
      <c r="G581" s="2" t="s">
        <v>438</v>
      </c>
      <c r="H581" s="459">
        <f>'Input (2) &amp; Process (1)'!H134</f>
        <v>0.75140420751785886</v>
      </c>
      <c r="I581" s="32" t="s">
        <v>128</v>
      </c>
      <c r="J581" s="42"/>
      <c r="K581" s="42"/>
    </row>
    <row r="582" spans="1:11" ht="18.75" customHeight="1" x14ac:dyDescent="0.25">
      <c r="A582" s="132"/>
      <c r="B582" s="1" t="s">
        <v>20</v>
      </c>
      <c r="G582" s="2" t="s">
        <v>21</v>
      </c>
      <c r="H582" s="6">
        <f>'Input (2) &amp; Process (1)'!H135</f>
        <v>40</v>
      </c>
      <c r="I582" s="32" t="s">
        <v>2</v>
      </c>
      <c r="J582" s="42"/>
      <c r="K582" s="42"/>
    </row>
    <row r="583" spans="1:11" ht="18.75" customHeight="1" x14ac:dyDescent="0.25">
      <c r="A583" s="132"/>
      <c r="B583" s="1" t="s">
        <v>1014</v>
      </c>
      <c r="G583" s="2" t="s">
        <v>1076</v>
      </c>
      <c r="H583" s="6">
        <f>'Input (2) &amp; Process (1)'!H136</f>
        <v>18729.136121816355</v>
      </c>
      <c r="I583" s="32" t="s">
        <v>39</v>
      </c>
      <c r="J583" s="42"/>
      <c r="K583" s="42"/>
    </row>
    <row r="584" spans="1:11" ht="18.75" customHeight="1" x14ac:dyDescent="0.25">
      <c r="A584" s="132"/>
      <c r="B584" s="1" t="s">
        <v>1075</v>
      </c>
      <c r="G584" s="2" t="s">
        <v>1077</v>
      </c>
      <c r="H584" s="6">
        <f>'Input (2) &amp; Process (1)'!H137</f>
        <v>29966.617794906171</v>
      </c>
      <c r="I584" s="32" t="s">
        <v>39</v>
      </c>
      <c r="J584" s="42"/>
      <c r="K584" s="42"/>
    </row>
    <row r="585" spans="1:11" ht="18.75" customHeight="1" x14ac:dyDescent="0.25">
      <c r="A585" s="132"/>
      <c r="B585" s="1" t="s">
        <v>1023</v>
      </c>
      <c r="G585" s="2" t="s">
        <v>1018</v>
      </c>
      <c r="H585" s="6">
        <f>'Input (2) &amp; Process (1)'!H138</f>
        <v>1511.3081400045814</v>
      </c>
      <c r="I585" s="32" t="s">
        <v>40</v>
      </c>
      <c r="J585" s="42"/>
      <c r="K585" s="42"/>
    </row>
    <row r="586" spans="1:11" ht="18.75" customHeight="1" x14ac:dyDescent="0.25">
      <c r="A586" s="132"/>
      <c r="B586" s="1" t="s">
        <v>1021</v>
      </c>
      <c r="G586" s="2" t="s">
        <v>1022</v>
      </c>
      <c r="H586" s="6">
        <f>'Input (2) &amp; Process (1)'!H139</f>
        <v>709.66</v>
      </c>
      <c r="I586" s="32" t="s">
        <v>40</v>
      </c>
      <c r="J586" s="42"/>
      <c r="K586" s="42"/>
    </row>
    <row r="587" spans="1:11" ht="18.75" customHeight="1" x14ac:dyDescent="0.25">
      <c r="A587" s="132"/>
      <c r="B587" s="1" t="s">
        <v>1024</v>
      </c>
      <c r="G587" s="2" t="s">
        <v>1025</v>
      </c>
      <c r="H587" s="6">
        <f>'Input (2) &amp; Process (1)'!H140</f>
        <v>1724.2061400045814</v>
      </c>
      <c r="I587" s="32" t="s">
        <v>40</v>
      </c>
      <c r="J587" s="42"/>
      <c r="K587" s="42"/>
    </row>
    <row r="588" spans="1:11" ht="18.75" customHeight="1" x14ac:dyDescent="0.25">
      <c r="A588" s="132"/>
      <c r="G588" s="2"/>
      <c r="H588" s="17"/>
      <c r="I588" s="32"/>
      <c r="J588" s="42"/>
      <c r="K588" s="42"/>
    </row>
    <row r="589" spans="1:11" ht="18.75" customHeight="1" x14ac:dyDescent="0.25">
      <c r="A589" s="132"/>
      <c r="B589" s="1" t="s">
        <v>1078</v>
      </c>
      <c r="J589" s="42"/>
      <c r="K589" s="42"/>
    </row>
    <row r="590" spans="1:11" ht="18.75" customHeight="1" x14ac:dyDescent="0.25">
      <c r="A590" s="132"/>
      <c r="G590" s="437" t="s">
        <v>1083</v>
      </c>
      <c r="H590" s="459">
        <f>'Input (2) &amp; Process (1)'!H141</f>
        <v>0.60866886255804664</v>
      </c>
      <c r="I590" s="32" t="s">
        <v>1026</v>
      </c>
      <c r="J590" s="42"/>
      <c r="K590" s="42"/>
    </row>
    <row r="591" spans="1:11" ht="18.75" customHeight="1" x14ac:dyDescent="0.25">
      <c r="A591" s="132"/>
      <c r="B591" s="1" t="s">
        <v>1082</v>
      </c>
      <c r="G591" s="437" t="s">
        <v>1092</v>
      </c>
      <c r="H591" s="459">
        <f>'Input (2) &amp; Process (1)'!H142</f>
        <v>0.45050852237954664</v>
      </c>
      <c r="I591" s="32" t="s">
        <v>1026</v>
      </c>
      <c r="J591" s="42"/>
      <c r="K591" s="42"/>
    </row>
    <row r="592" spans="1:11" ht="18.75" customHeight="1" x14ac:dyDescent="0.25">
      <c r="A592" s="132"/>
      <c r="B592" s="1" t="s">
        <v>1079</v>
      </c>
      <c r="G592" s="2" t="s">
        <v>1100</v>
      </c>
      <c r="H592" s="459">
        <f>'Input (2) &amp; Process (1)'!H143</f>
        <v>0.53395207146645496</v>
      </c>
      <c r="I592" s="32" t="s">
        <v>1030</v>
      </c>
      <c r="J592" s="42"/>
      <c r="K592" s="42"/>
    </row>
    <row r="593" spans="1:11" ht="18.75" customHeight="1" x14ac:dyDescent="0.25">
      <c r="A593" s="132"/>
      <c r="B593" s="1" t="s">
        <v>1071</v>
      </c>
      <c r="G593" s="2" t="s">
        <v>1072</v>
      </c>
      <c r="H593" s="207">
        <f>'Input (2) &amp; Process (1)'!H144</f>
        <v>1.5</v>
      </c>
      <c r="I593" s="32"/>
      <c r="J593" s="42"/>
      <c r="K593" s="42"/>
    </row>
    <row r="594" spans="1:11" ht="18.75" customHeight="1" x14ac:dyDescent="0.25">
      <c r="A594" s="132"/>
      <c r="B594" s="1" t="s">
        <v>1080</v>
      </c>
      <c r="J594" s="42"/>
      <c r="K594" s="42"/>
    </row>
    <row r="595" spans="1:11" ht="18.75" customHeight="1" x14ac:dyDescent="0.25">
      <c r="A595" s="132"/>
      <c r="G595" s="2" t="s">
        <v>1101</v>
      </c>
      <c r="H595" s="6">
        <f>'Input (2) &amp; Process (1)'!H145</f>
        <v>306.88114669687553</v>
      </c>
      <c r="I595" s="32" t="s">
        <v>40</v>
      </c>
      <c r="J595" s="42"/>
      <c r="K595" s="42"/>
    </row>
    <row r="596" spans="1:11" ht="18.75" customHeight="1" x14ac:dyDescent="0.25">
      <c r="A596" s="132"/>
      <c r="H596" s="3"/>
      <c r="I596" s="32"/>
      <c r="J596" s="42"/>
      <c r="K596" s="42"/>
    </row>
    <row r="597" spans="1:11" ht="18.75" customHeight="1" x14ac:dyDescent="0.25">
      <c r="A597" s="132"/>
      <c r="B597" s="1" t="s">
        <v>1085</v>
      </c>
      <c r="G597" s="437" t="s">
        <v>1032</v>
      </c>
      <c r="H597" s="207">
        <f>'Input (2) &amp; Process (1)'!H147</f>
        <v>0.6</v>
      </c>
      <c r="I597" s="32" t="s">
        <v>1030</v>
      </c>
      <c r="J597" s="42"/>
      <c r="K597" s="42"/>
    </row>
    <row r="598" spans="1:11" ht="18.75" customHeight="1" x14ac:dyDescent="0.25">
      <c r="A598" s="132"/>
      <c r="B598" s="1" t="s">
        <v>1084</v>
      </c>
      <c r="G598" s="437" t="s">
        <v>1087</v>
      </c>
      <c r="H598" s="77">
        <f>'Input (2) &amp; Process (1)'!H148</f>
        <v>1.1000000000000001</v>
      </c>
      <c r="I598" s="32"/>
      <c r="J598" s="42"/>
      <c r="K598" s="42"/>
    </row>
    <row r="599" spans="1:11" ht="18.75" customHeight="1" x14ac:dyDescent="0.25">
      <c r="A599" s="132"/>
      <c r="B599" s="1" t="s">
        <v>1053</v>
      </c>
      <c r="G599" s="2" t="s">
        <v>1088</v>
      </c>
      <c r="H599" s="207">
        <f>'Input (2) &amp; Process (1)'!H149</f>
        <v>0.79199999999999993</v>
      </c>
      <c r="I599" s="32" t="s">
        <v>1030</v>
      </c>
      <c r="J599" s="42"/>
      <c r="K599" s="42"/>
    </row>
    <row r="600" spans="1:11" ht="18.75" customHeight="1" x14ac:dyDescent="0.25">
      <c r="A600" s="132"/>
      <c r="B600" s="1" t="s">
        <v>1086</v>
      </c>
      <c r="H600" s="393"/>
      <c r="I600" s="32"/>
      <c r="J600" s="42"/>
      <c r="K600" s="42"/>
    </row>
    <row r="601" spans="1:11" ht="18.75" customHeight="1" x14ac:dyDescent="0.25">
      <c r="A601" s="132"/>
      <c r="B601" s="28" t="s">
        <v>361</v>
      </c>
      <c r="H601" s="566"/>
      <c r="I601" s="32"/>
      <c r="J601" s="42"/>
      <c r="K601" s="42"/>
    </row>
    <row r="602" spans="1:11" ht="18.75" customHeight="1" x14ac:dyDescent="0.25">
      <c r="A602" s="132"/>
      <c r="B602" s="4" t="s">
        <v>1149</v>
      </c>
      <c r="G602" s="2" t="s">
        <v>1146</v>
      </c>
      <c r="H602" s="459" t="str">
        <f>'Input (2) &amp; Process (1)'!H151</f>
        <v>-</v>
      </c>
      <c r="I602" s="32" t="s">
        <v>1030</v>
      </c>
      <c r="J602" s="42"/>
      <c r="K602" s="42"/>
    </row>
    <row r="603" spans="1:11" ht="18.75" customHeight="1" x14ac:dyDescent="0.25">
      <c r="A603" s="132"/>
      <c r="B603" s="4" t="s">
        <v>1150</v>
      </c>
      <c r="J603" s="42"/>
      <c r="K603" s="42"/>
    </row>
    <row r="604" spans="1:11" ht="18.75" customHeight="1" x14ac:dyDescent="0.25">
      <c r="A604" s="132"/>
      <c r="B604" s="4"/>
      <c r="G604" s="2" t="s">
        <v>1148</v>
      </c>
      <c r="H604" s="459" t="str">
        <f>'Input (2) &amp; Process (1)'!H152</f>
        <v>-</v>
      </c>
      <c r="I604" s="32" t="s">
        <v>1030</v>
      </c>
      <c r="J604" s="42"/>
      <c r="K604" s="42"/>
    </row>
    <row r="605" spans="1:11" ht="18.75" customHeight="1" x14ac:dyDescent="0.25">
      <c r="A605" s="132"/>
      <c r="B605" s="4" t="s">
        <v>1151</v>
      </c>
      <c r="G605" s="2" t="s">
        <v>1147</v>
      </c>
      <c r="H605" s="459" t="str">
        <f>'Input (2) &amp; Process (1)'!H153</f>
        <v>-</v>
      </c>
      <c r="I605" s="32" t="s">
        <v>1030</v>
      </c>
      <c r="J605" s="42"/>
      <c r="K605" s="42"/>
    </row>
    <row r="606" spans="1:11" ht="18.75" customHeight="1" x14ac:dyDescent="0.25">
      <c r="A606" s="132"/>
      <c r="B606" s="4" t="s">
        <v>1152</v>
      </c>
      <c r="G606" s="2" t="s">
        <v>1089</v>
      </c>
      <c r="H606" s="459">
        <f>'Input (2) &amp; Process (1)'!H154</f>
        <v>0.30549143585883104</v>
      </c>
      <c r="I606" s="32" t="s">
        <v>1030</v>
      </c>
      <c r="J606" s="42"/>
      <c r="K606" s="42"/>
    </row>
    <row r="607" spans="1:11" ht="18.75" customHeight="1" x14ac:dyDescent="0.25">
      <c r="A607" s="132"/>
      <c r="G607" s="2" t="s">
        <v>1153</v>
      </c>
      <c r="H607" s="459">
        <f>'Input (2) &amp; Process (1)'!H155</f>
        <v>0.30549143585883104</v>
      </c>
      <c r="I607" s="32" t="s">
        <v>1030</v>
      </c>
      <c r="J607" s="42"/>
      <c r="K607" s="42"/>
    </row>
    <row r="608" spans="1:11" ht="18.75" customHeight="1" x14ac:dyDescent="0.25">
      <c r="A608" s="132"/>
      <c r="B608" s="1" t="s">
        <v>1090</v>
      </c>
      <c r="G608" s="2" t="s">
        <v>1095</v>
      </c>
      <c r="H608" s="459">
        <f>'Input (2) &amp; Process (1)'!H156</f>
        <v>0.20366095723922067</v>
      </c>
      <c r="I608" s="32" t="s">
        <v>1030</v>
      </c>
      <c r="J608" s="42"/>
      <c r="K608" s="42"/>
    </row>
    <row r="609" spans="1:11" ht="18.75" customHeight="1" x14ac:dyDescent="0.25">
      <c r="A609" s="132"/>
      <c r="H609" s="3"/>
      <c r="I609" s="32"/>
      <c r="J609" s="42"/>
      <c r="K609" s="42"/>
    </row>
    <row r="610" spans="1:11" ht="18.75" customHeight="1" x14ac:dyDescent="0.25">
      <c r="A610" s="132"/>
      <c r="B610" s="1" t="s">
        <v>1091</v>
      </c>
      <c r="J610" s="42"/>
      <c r="K610" s="42"/>
    </row>
    <row r="611" spans="1:11" ht="18.75" customHeight="1" x14ac:dyDescent="0.25">
      <c r="A611" s="132"/>
      <c r="G611" s="2" t="s">
        <v>1096</v>
      </c>
      <c r="H611" s="459">
        <f>'Input (2) &amp; Process (1)'!H158</f>
        <v>239.39120937672567</v>
      </c>
      <c r="I611" s="32" t="s">
        <v>40</v>
      </c>
      <c r="J611" s="42"/>
      <c r="K611" s="42"/>
    </row>
    <row r="612" spans="1:11" ht="18.75" customHeight="1" x14ac:dyDescent="0.25">
      <c r="A612" s="132"/>
      <c r="G612" s="2" t="s">
        <v>1097</v>
      </c>
      <c r="H612" s="459">
        <f>'Input (2) &amp; Process (1)'!H159</f>
        <v>92.338338743027748</v>
      </c>
      <c r="I612" s="32" t="s">
        <v>40</v>
      </c>
      <c r="J612" s="42"/>
      <c r="K612" s="42"/>
    </row>
    <row r="613" spans="1:11" ht="18.75" customHeight="1" x14ac:dyDescent="0.25">
      <c r="A613" s="132"/>
      <c r="H613" s="3"/>
      <c r="I613" s="32"/>
      <c r="J613" s="42"/>
      <c r="K613" s="42"/>
    </row>
    <row r="614" spans="1:11" ht="18.75" customHeight="1" x14ac:dyDescent="0.25">
      <c r="A614" s="132"/>
      <c r="B614" s="1" t="s">
        <v>1093</v>
      </c>
      <c r="J614" s="42"/>
      <c r="K614" s="42"/>
    </row>
    <row r="615" spans="1:11" ht="18.75" customHeight="1" x14ac:dyDescent="0.25">
      <c r="A615" s="132"/>
      <c r="G615" s="2" t="s">
        <v>1099</v>
      </c>
      <c r="H615" s="459">
        <f>'Input (2) &amp; Process (1)'!H161</f>
        <v>306.88114669687553</v>
      </c>
      <c r="I615" s="32" t="s">
        <v>40</v>
      </c>
      <c r="J615" s="42"/>
      <c r="K615" s="42"/>
    </row>
    <row r="616" spans="1:11" ht="18.75" customHeight="1" x14ac:dyDescent="0.25">
      <c r="A616" s="132"/>
      <c r="B616" s="1" t="s">
        <v>1094</v>
      </c>
      <c r="G616" s="1" t="s">
        <v>1098</v>
      </c>
      <c r="H616" s="459">
        <f>'Input (2) &amp; Process (1)'!H162</f>
        <v>7.6720286674218885</v>
      </c>
      <c r="I616" s="32" t="s">
        <v>39</v>
      </c>
      <c r="J616" s="42"/>
      <c r="K616" s="42"/>
    </row>
    <row r="617" spans="1:11" ht="18.75" customHeight="1" x14ac:dyDescent="0.25">
      <c r="A617" s="132"/>
      <c r="B617" s="42" t="s">
        <v>1154</v>
      </c>
      <c r="C617" s="42"/>
      <c r="D617" s="42"/>
      <c r="E617" s="42"/>
      <c r="F617" s="42"/>
      <c r="J617" s="42"/>
      <c r="K617" s="42"/>
    </row>
    <row r="618" spans="1:11" ht="18.75" customHeight="1" x14ac:dyDescent="0.25">
      <c r="A618" s="132"/>
      <c r="B618" s="42"/>
      <c r="C618" s="42"/>
      <c r="D618" s="42"/>
      <c r="E618" s="42"/>
      <c r="F618" s="42"/>
      <c r="G618" s="30" t="s">
        <v>1155</v>
      </c>
      <c r="H618" s="459">
        <f>'Input (2) &amp; Process (1)'!H163</f>
        <v>1534.4057334843776</v>
      </c>
      <c r="I618" s="32" t="s">
        <v>42</v>
      </c>
      <c r="J618" s="42"/>
      <c r="K618" s="42"/>
    </row>
    <row r="619" spans="1:11" ht="18.75" customHeight="1" x14ac:dyDescent="0.25">
      <c r="A619" s="132"/>
      <c r="B619" s="42"/>
      <c r="C619" s="42"/>
      <c r="D619" s="42"/>
      <c r="E619" s="42"/>
      <c r="F619" s="42"/>
      <c r="G619" s="42"/>
      <c r="H619" s="42"/>
      <c r="I619" s="42"/>
      <c r="J619" s="42"/>
      <c r="K619" s="42"/>
    </row>
    <row r="620" spans="1:11" ht="18.75" customHeight="1" x14ac:dyDescent="0.25">
      <c r="A620" s="132" t="s">
        <v>886</v>
      </c>
      <c r="B620" s="328" t="s">
        <v>813</v>
      </c>
      <c r="C620" s="42"/>
      <c r="D620" s="42"/>
      <c r="E620" s="42"/>
      <c r="F620" s="42"/>
      <c r="G620" s="42"/>
      <c r="H620" s="42"/>
      <c r="I620" s="42"/>
      <c r="J620" s="42"/>
      <c r="K620" s="42"/>
    </row>
    <row r="621" spans="1:11" ht="18.75" customHeight="1" x14ac:dyDescent="0.25">
      <c r="A621" s="132"/>
      <c r="B621" s="42" t="s">
        <v>1156</v>
      </c>
      <c r="C621" s="42"/>
      <c r="D621" s="42"/>
      <c r="E621" s="42"/>
      <c r="F621" s="42"/>
      <c r="G621" s="30" t="s">
        <v>796</v>
      </c>
      <c r="H621" s="459">
        <f>'Input (2) &amp; Process (1)'!H167</f>
        <v>6417.1200000000017</v>
      </c>
      <c r="I621" s="32" t="s">
        <v>42</v>
      </c>
      <c r="J621" s="42"/>
      <c r="K621" s="42"/>
    </row>
    <row r="622" spans="1:11" ht="18.75" customHeight="1" x14ac:dyDescent="0.25">
      <c r="A622" s="132"/>
      <c r="B622" s="42" t="s">
        <v>1157</v>
      </c>
      <c r="C622" s="42"/>
      <c r="D622" s="42"/>
      <c r="E622" s="42"/>
      <c r="F622" s="42"/>
      <c r="G622" s="30" t="s">
        <v>814</v>
      </c>
      <c r="H622" s="459">
        <f>'Input (2) &amp; Process (1)'!H168</f>
        <v>6154.1077933553097</v>
      </c>
      <c r="I622" s="32" t="s">
        <v>42</v>
      </c>
      <c r="J622" s="42"/>
      <c r="K622" s="42"/>
    </row>
    <row r="623" spans="1:11" ht="18.75" customHeight="1" x14ac:dyDescent="0.25">
      <c r="A623" s="132"/>
      <c r="B623" s="42" t="s">
        <v>1158</v>
      </c>
      <c r="C623" s="42"/>
      <c r="D623" s="42"/>
      <c r="E623" s="42"/>
      <c r="F623" s="42"/>
      <c r="G623" s="30" t="s">
        <v>800</v>
      </c>
      <c r="H623" s="459">
        <f>'Input (2) &amp; Process (1)'!H169</f>
        <v>995.30000000000007</v>
      </c>
      <c r="I623" s="32" t="s">
        <v>42</v>
      </c>
      <c r="J623" s="42"/>
      <c r="K623" s="42"/>
    </row>
    <row r="624" spans="1:11" ht="18.75" customHeight="1" x14ac:dyDescent="0.25">
      <c r="A624" s="132"/>
      <c r="B624" s="42" t="s">
        <v>1159</v>
      </c>
      <c r="C624" s="42"/>
      <c r="D624" s="42"/>
      <c r="E624" s="42"/>
      <c r="F624" s="42"/>
      <c r="G624" s="30" t="s">
        <v>815</v>
      </c>
      <c r="H624" s="459">
        <f>'Input (2) &amp; Process (1)'!H170</f>
        <v>4182.8500000000004</v>
      </c>
      <c r="I624" s="32" t="s">
        <v>42</v>
      </c>
      <c r="J624" s="42"/>
      <c r="K624" s="42"/>
    </row>
    <row r="625" spans="1:11" ht="18.75" customHeight="1" x14ac:dyDescent="0.25">
      <c r="A625" s="132"/>
      <c r="B625" s="42" t="s">
        <v>1160</v>
      </c>
      <c r="C625" s="42"/>
      <c r="D625" s="42"/>
      <c r="E625" s="42"/>
      <c r="F625" s="42"/>
      <c r="G625" s="30" t="s">
        <v>816</v>
      </c>
      <c r="H625" s="459">
        <f>'Input (2) &amp; Process (1)'!H171</f>
        <v>67.811554004130784</v>
      </c>
      <c r="I625" s="32" t="s">
        <v>42</v>
      </c>
      <c r="J625" s="42"/>
      <c r="K625" s="42"/>
    </row>
    <row r="626" spans="1:11" ht="18.75" customHeight="1" x14ac:dyDescent="0.25">
      <c r="A626" s="132"/>
      <c r="B626" s="42" t="s">
        <v>789</v>
      </c>
      <c r="C626" s="42"/>
      <c r="D626" s="42"/>
      <c r="E626" s="42"/>
      <c r="F626" s="42"/>
      <c r="G626" s="30" t="s">
        <v>817</v>
      </c>
      <c r="H626" s="459">
        <f>'Input (2) &amp; Process (1)'!H172</f>
        <v>150.17142857142858</v>
      </c>
      <c r="I626" s="32" t="s">
        <v>42</v>
      </c>
      <c r="J626" s="42"/>
      <c r="K626" s="42"/>
    </row>
    <row r="627" spans="1:11" ht="18.75" customHeight="1" x14ac:dyDescent="0.25">
      <c r="A627" s="132"/>
      <c r="B627" s="42" t="s">
        <v>1161</v>
      </c>
      <c r="C627" s="42"/>
      <c r="D627" s="42"/>
      <c r="E627" s="42"/>
      <c r="F627" s="42"/>
      <c r="G627" s="30" t="s">
        <v>818</v>
      </c>
      <c r="H627" s="459">
        <f>'Input (2) &amp; Process (1)'!H173</f>
        <v>910.97692624888373</v>
      </c>
      <c r="I627" s="32" t="s">
        <v>42</v>
      </c>
      <c r="J627" s="42"/>
      <c r="K627" s="42"/>
    </row>
    <row r="628" spans="1:11" ht="18.75" customHeight="1" x14ac:dyDescent="0.25">
      <c r="A628" s="132"/>
      <c r="B628" s="42" t="s">
        <v>1154</v>
      </c>
      <c r="C628" s="42"/>
      <c r="D628" s="42"/>
      <c r="E628" s="42"/>
      <c r="F628" s="42"/>
      <c r="G628" s="30" t="s">
        <v>824</v>
      </c>
      <c r="H628" s="459">
        <f>'Input (2) &amp; Process (1)'!H174</f>
        <v>1534.4057334843776</v>
      </c>
      <c r="I628" s="32" t="s">
        <v>42</v>
      </c>
      <c r="J628" s="42"/>
      <c r="K628" s="42"/>
    </row>
    <row r="629" spans="1:11" ht="18.75" customHeight="1" x14ac:dyDescent="0.25">
      <c r="A629" s="132"/>
      <c r="B629" s="42"/>
      <c r="C629" s="42"/>
      <c r="D629" s="42"/>
      <c r="E629" s="42"/>
      <c r="F629" s="42"/>
      <c r="G629" s="42"/>
      <c r="H629" s="42"/>
      <c r="I629" s="42"/>
      <c r="J629" s="42"/>
      <c r="K629" s="42"/>
    </row>
    <row r="630" spans="1:11" ht="18.75" customHeight="1" x14ac:dyDescent="0.25">
      <c r="A630" s="132"/>
      <c r="B630" s="42" t="s">
        <v>819</v>
      </c>
      <c r="C630" s="42"/>
      <c r="D630" s="42"/>
      <c r="E630" s="42"/>
      <c r="F630" s="42"/>
      <c r="G630" s="42"/>
      <c r="H630" s="42"/>
      <c r="I630" s="42"/>
      <c r="J630" s="42"/>
      <c r="K630" s="42"/>
    </row>
    <row r="631" spans="1:11" ht="18.75" customHeight="1" x14ac:dyDescent="0.25">
      <c r="A631" s="132"/>
      <c r="B631" s="42"/>
      <c r="C631" s="42"/>
      <c r="D631" s="42"/>
      <c r="E631" s="42"/>
      <c r="F631" s="42"/>
      <c r="G631" s="30" t="s">
        <v>820</v>
      </c>
      <c r="H631" s="459">
        <f>'Input (2) &amp; Process (1)'!H177</f>
        <v>5932.4382670949171</v>
      </c>
      <c r="I631" s="32" t="s">
        <v>42</v>
      </c>
      <c r="J631" s="42"/>
      <c r="K631" s="42"/>
    </row>
    <row r="632" spans="1:11" ht="18.75" customHeight="1" x14ac:dyDescent="0.25">
      <c r="A632" s="132"/>
      <c r="B632" s="42" t="s">
        <v>821</v>
      </c>
      <c r="C632" s="42"/>
      <c r="D632" s="42"/>
      <c r="E632" s="42"/>
      <c r="F632" s="42"/>
      <c r="J632" s="42"/>
      <c r="K632" s="42"/>
    </row>
    <row r="633" spans="1:11" ht="18.75" customHeight="1" x14ac:dyDescent="0.25">
      <c r="A633" s="132"/>
      <c r="B633" s="42"/>
      <c r="C633" s="42"/>
      <c r="D633" s="42"/>
      <c r="E633" s="42"/>
      <c r="F633" s="42"/>
      <c r="G633" s="30" t="s">
        <v>1163</v>
      </c>
      <c r="H633" s="459">
        <f>'Input (2) &amp; Process (1)'!H178</f>
        <v>4658.8414498479979</v>
      </c>
      <c r="I633" s="32" t="s">
        <v>42</v>
      </c>
      <c r="J633" s="42"/>
      <c r="K633" s="42"/>
    </row>
    <row r="634" spans="1:11" ht="18.75" customHeight="1" x14ac:dyDescent="0.25">
      <c r="A634" s="132"/>
      <c r="B634" s="42"/>
      <c r="C634" s="42"/>
      <c r="D634" s="42"/>
      <c r="E634" s="42"/>
      <c r="F634" s="42"/>
      <c r="G634" s="42"/>
      <c r="H634" s="42"/>
      <c r="I634" s="42"/>
      <c r="J634" s="42"/>
      <c r="K634" s="42"/>
    </row>
    <row r="635" spans="1:11" ht="18.75" customHeight="1" x14ac:dyDescent="0.25">
      <c r="A635" s="132" t="s">
        <v>887</v>
      </c>
      <c r="B635" s="87" t="s">
        <v>861</v>
      </c>
      <c r="J635" s="42"/>
      <c r="K635" s="42"/>
    </row>
    <row r="636" spans="1:11" ht="18.75" customHeight="1" x14ac:dyDescent="0.25">
      <c r="A636" s="132"/>
      <c r="B636" s="670" t="s">
        <v>1257</v>
      </c>
      <c r="C636" s="670"/>
      <c r="D636" s="670"/>
      <c r="E636" s="670"/>
      <c r="F636" s="670"/>
      <c r="G636" s="670"/>
      <c r="H636" s="670"/>
      <c r="I636" s="670"/>
      <c r="J636" s="42"/>
      <c r="K636" s="42"/>
    </row>
    <row r="637" spans="1:11" ht="18.75" customHeight="1" x14ac:dyDescent="0.25">
      <c r="A637" s="132"/>
      <c r="B637" s="670"/>
      <c r="C637" s="670"/>
      <c r="D637" s="670"/>
      <c r="E637" s="670"/>
      <c r="F637" s="670"/>
      <c r="G637" s="670"/>
      <c r="H637" s="670"/>
      <c r="I637" s="670"/>
      <c r="J637" s="42"/>
      <c r="K637" s="42"/>
    </row>
    <row r="638" spans="1:11" ht="18.75" customHeight="1" x14ac:dyDescent="0.25">
      <c r="A638" s="42"/>
      <c r="B638" s="617"/>
      <c r="C638" s="159" t="s">
        <v>847</v>
      </c>
      <c r="D638" s="159" t="s">
        <v>848</v>
      </c>
      <c r="E638" s="159" t="s">
        <v>849</v>
      </c>
      <c r="F638" s="159" t="s">
        <v>850</v>
      </c>
      <c r="G638" s="159" t="s">
        <v>851</v>
      </c>
      <c r="H638" s="159" t="s">
        <v>852</v>
      </c>
      <c r="I638" s="159" t="s">
        <v>853</v>
      </c>
      <c r="J638" s="42"/>
      <c r="K638" s="42"/>
    </row>
    <row r="639" spans="1:11" ht="18.75" customHeight="1" x14ac:dyDescent="0.25">
      <c r="A639" s="42"/>
      <c r="B639" s="618"/>
      <c r="C639" s="194">
        <f>'Input (2) &amp; Process (1)'!N168</f>
        <v>32.085600000000007</v>
      </c>
      <c r="D639" s="194">
        <f>'Input (2) &amp; Process (1)'!O168</f>
        <v>4.9765000000000006</v>
      </c>
      <c r="E639" s="194">
        <f>'Input (2) &amp; Process (1)'!P168</f>
        <v>-30.770538966776549</v>
      </c>
      <c r="F639" s="194">
        <f>'Input (2) &amp; Process (1)'!Q168</f>
        <v>14.568750000000001</v>
      </c>
      <c r="G639" s="195">
        <f>'Input (2) &amp; Process (1)'!R168</f>
        <v>13.562310800826157</v>
      </c>
      <c r="H639" s="194">
        <f>'Input (2) &amp; Process (1)'!S168</f>
        <v>0.75085714285714289</v>
      </c>
      <c r="I639" s="194">
        <f>'Input (2) &amp; Process (1)'!T168</f>
        <v>8.4265365678021755</v>
      </c>
      <c r="J639" s="42"/>
      <c r="K639" s="42"/>
    </row>
    <row r="640" spans="1:11" ht="18.75" customHeight="1" x14ac:dyDescent="0.25">
      <c r="A640" s="42"/>
      <c r="B640" s="196">
        <f>'Input (2) &amp; Process (1)'!M169</f>
        <v>0</v>
      </c>
      <c r="C640" s="6">
        <f>'Input (2) &amp; Process (1)'!N169</f>
        <v>0</v>
      </c>
      <c r="D640" s="6">
        <f>'Input (2) &amp; Process (1)'!O169</f>
        <v>0</v>
      </c>
      <c r="E640" s="6">
        <f>'Input (2) &amp; Process (1)'!P169</f>
        <v>0</v>
      </c>
      <c r="F640" s="6">
        <f>'Input (2) &amp; Process (1)'!Q169</f>
        <v>0</v>
      </c>
      <c r="G640" s="6">
        <f>'Input (2) &amp; Process (1)'!R169</f>
        <v>0</v>
      </c>
      <c r="H640" s="6">
        <f>'Input (2) &amp; Process (1)'!S169</f>
        <v>0</v>
      </c>
      <c r="I640" s="6">
        <f>'Input (2) &amp; Process (1)'!T169</f>
        <v>0</v>
      </c>
      <c r="J640" s="42"/>
      <c r="K640" s="42"/>
    </row>
    <row r="641" spans="1:11" ht="18.75" customHeight="1" x14ac:dyDescent="0.25">
      <c r="A641" s="42"/>
      <c r="B641" s="196">
        <f>'Input (2) &amp; Process (1)'!M170</f>
        <v>1</v>
      </c>
      <c r="C641" s="6">
        <f>'Input (2) &amp; Process (1)'!N170</f>
        <v>625.66920000000016</v>
      </c>
      <c r="D641" s="6">
        <f>'Input (2) &amp; Process (1)'!O170</f>
        <v>97.041750000000008</v>
      </c>
      <c r="E641" s="6">
        <f>'Input (2) &amp; Process (1)'!P170</f>
        <v>-600.0255098521427</v>
      </c>
      <c r="F641" s="6">
        <f>'Input (2) &amp; Process (1)'!Q170</f>
        <v>347.54562500000003</v>
      </c>
      <c r="G641" s="6">
        <f>'Input (2) &amp; Process (1)'!R170</f>
        <v>1.6952888501032697</v>
      </c>
      <c r="H641" s="6">
        <f>'Input (2) &amp; Process (1)'!S170</f>
        <v>14.641714285714286</v>
      </c>
      <c r="I641" s="6">
        <f>'Input (2) &amp; Process (1)'!T170</f>
        <v>164.31746307214243</v>
      </c>
      <c r="J641" s="42"/>
      <c r="K641" s="42"/>
    </row>
    <row r="642" spans="1:11" ht="18.75" customHeight="1" x14ac:dyDescent="0.25">
      <c r="A642" s="42"/>
      <c r="B642" s="196">
        <f>'Input (2) &amp; Process (1)'!M171</f>
        <v>2</v>
      </c>
      <c r="C642" s="6">
        <f>'Input (2) &amp; Process (1)'!N171</f>
        <v>1219.2528000000002</v>
      </c>
      <c r="D642" s="6">
        <f>'Input (2) &amp; Process (1)'!O171</f>
        <v>189.10700000000003</v>
      </c>
      <c r="E642" s="6">
        <f>'Input (2) &amp; Process (1)'!P171</f>
        <v>-1169.2804807375089</v>
      </c>
      <c r="F642" s="6">
        <f>'Input (2) &amp; Process (1)'!Q171</f>
        <v>680.52250000000004</v>
      </c>
      <c r="G642" s="6">
        <f>'Input (2) &amp; Process (1)'!R171</f>
        <v>3.3905777002065394</v>
      </c>
      <c r="H642" s="6">
        <f>'Input (2) &amp; Process (1)'!S171</f>
        <v>28.53257142857143</v>
      </c>
      <c r="I642" s="6">
        <f>'Input (2) &amp; Process (1)'!T171</f>
        <v>320.20838957648266</v>
      </c>
      <c r="J642" s="42"/>
      <c r="K642" s="42"/>
    </row>
    <row r="643" spans="1:11" ht="18.75" customHeight="1" x14ac:dyDescent="0.25">
      <c r="A643" s="42"/>
      <c r="B643" s="196">
        <f>'Input (2) &amp; Process (1)'!M172</f>
        <v>3</v>
      </c>
      <c r="C643" s="6">
        <f>'Input (2) &amp; Process (1)'!N172</f>
        <v>1780.7508000000003</v>
      </c>
      <c r="D643" s="6">
        <f>'Input (2) &amp; Process (1)'!O172</f>
        <v>276.19575000000003</v>
      </c>
      <c r="E643" s="6">
        <f>'Input (2) &amp; Process (1)'!P172</f>
        <v>-1707.7649126560984</v>
      </c>
      <c r="F643" s="6">
        <f>'Input (2) &amp; Process (1)'!Q172</f>
        <v>998.93062500000008</v>
      </c>
      <c r="G643" s="6">
        <f>'Input (2) &amp; Process (1)'!R172</f>
        <v>5.0858665503098086</v>
      </c>
      <c r="H643" s="6">
        <f>'Input (2) &amp; Process (1)'!S172</f>
        <v>41.67257142857143</v>
      </c>
      <c r="I643" s="6">
        <f>'Input (2) &amp; Process (1)'!T172</f>
        <v>467.67277951302071</v>
      </c>
      <c r="J643" s="42"/>
      <c r="K643" s="42"/>
    </row>
    <row r="644" spans="1:11" ht="18.75" customHeight="1" x14ac:dyDescent="0.25">
      <c r="A644" s="42"/>
      <c r="B644" s="196">
        <f>'Input (2) &amp; Process (1)'!M173</f>
        <v>4</v>
      </c>
      <c r="C644" s="6">
        <f>'Input (2) &amp; Process (1)'!N173</f>
        <v>2310.1632000000004</v>
      </c>
      <c r="D644" s="6">
        <f>'Input (2) &amp; Process (1)'!O173</f>
        <v>358.30800000000005</v>
      </c>
      <c r="E644" s="6">
        <f>'Input (2) &amp; Process (1)'!P173</f>
        <v>-2215.4788056079115</v>
      </c>
      <c r="F644" s="6">
        <f>'Input (2) &amp; Process (1)'!Q173</f>
        <v>1302.77</v>
      </c>
      <c r="G644" s="6">
        <f>'Input (2) &amp; Process (1)'!R173</f>
        <v>6.7811554004130787</v>
      </c>
      <c r="H644" s="6">
        <f>'Input (2) &amp; Process (1)'!S173</f>
        <v>54.061714285714288</v>
      </c>
      <c r="I644" s="6">
        <f>'Input (2) &amp; Process (1)'!T173</f>
        <v>606.71063288175662</v>
      </c>
      <c r="J644" s="42"/>
      <c r="K644" s="42"/>
    </row>
    <row r="645" spans="1:11" ht="18.75" customHeight="1" x14ac:dyDescent="0.25">
      <c r="A645" s="42"/>
      <c r="B645" s="196">
        <f>'Input (2) &amp; Process (1)'!M174</f>
        <v>5</v>
      </c>
      <c r="C645" s="6">
        <f>'Input (2) &amp; Process (1)'!N174</f>
        <v>2807.4900000000007</v>
      </c>
      <c r="D645" s="6">
        <f>'Input (2) &amp; Process (1)'!O174</f>
        <v>435.44375000000008</v>
      </c>
      <c r="E645" s="6">
        <f>'Input (2) &amp; Process (1)'!P174</f>
        <v>-2692.422159592948</v>
      </c>
      <c r="F645" s="6">
        <f>'Input (2) &amp; Process (1)'!Q174</f>
        <v>1592.0406250000001</v>
      </c>
      <c r="G645" s="6">
        <f>'Input (2) &amp; Process (1)'!R174</f>
        <v>8.476444250516348</v>
      </c>
      <c r="H645" s="6">
        <f>'Input (2) &amp; Process (1)'!S174</f>
        <v>65.7</v>
      </c>
      <c r="I645" s="6">
        <f>'Input (2) &amp; Process (1)'!T174</f>
        <v>737.32194968269039</v>
      </c>
      <c r="J645" s="42"/>
      <c r="K645" s="42"/>
    </row>
    <row r="646" spans="1:11" ht="18.75" customHeight="1" x14ac:dyDescent="0.25">
      <c r="A646" s="42"/>
      <c r="B646" s="196">
        <f>'Input (2) &amp; Process (1)'!M175</f>
        <v>6</v>
      </c>
      <c r="C646" s="6">
        <f>'Input (2) &amp; Process (1)'!N175</f>
        <v>3272.7312000000006</v>
      </c>
      <c r="D646" s="6">
        <f>'Input (2) &amp; Process (1)'!O175</f>
        <v>507.60300000000007</v>
      </c>
      <c r="E646" s="6">
        <f>'Input (2) &amp; Process (1)'!P175</f>
        <v>-3138.5949746112078</v>
      </c>
      <c r="F646" s="6">
        <f>'Input (2) &amp; Process (1)'!Q175</f>
        <v>1866.7425000000001</v>
      </c>
      <c r="G646" s="6">
        <f>'Input (2) &amp; Process (1)'!R175</f>
        <v>10.171733100619617</v>
      </c>
      <c r="H646" s="6">
        <f>'Input (2) &amp; Process (1)'!S175</f>
        <v>76.587428571428575</v>
      </c>
      <c r="I646" s="6">
        <f>'Input (2) &amp; Process (1)'!T175</f>
        <v>859.50672991582189</v>
      </c>
      <c r="J646" s="42"/>
      <c r="K646" s="42"/>
    </row>
    <row r="647" spans="1:11" ht="18.75" customHeight="1" x14ac:dyDescent="0.25">
      <c r="A647" s="42"/>
      <c r="B647" s="196">
        <f>'Input (2) &amp; Process (1)'!M176</f>
        <v>7</v>
      </c>
      <c r="C647" s="6">
        <f>'Input (2) &amp; Process (1)'!N176</f>
        <v>3705.8868000000007</v>
      </c>
      <c r="D647" s="6">
        <f>'Input (2) &amp; Process (1)'!O176</f>
        <v>574.78575000000012</v>
      </c>
      <c r="E647" s="6">
        <f>'Input (2) &amp; Process (1)'!P176</f>
        <v>-3553.9972506626914</v>
      </c>
      <c r="F647" s="6">
        <f>'Input (2) &amp; Process (1)'!Q176</f>
        <v>2126.8756250000001</v>
      </c>
      <c r="G647" s="6">
        <f>'Input (2) &amp; Process (1)'!R176</f>
        <v>11.867021950722886</v>
      </c>
      <c r="H647" s="6">
        <f>'Input (2) &amp; Process (1)'!S176</f>
        <v>86.724000000000004</v>
      </c>
      <c r="I647" s="6">
        <f>'Input (2) &amp; Process (1)'!T176</f>
        <v>973.26497358115125</v>
      </c>
      <c r="J647" s="42"/>
      <c r="K647" s="42"/>
    </row>
    <row r="648" spans="1:11" ht="18.75" customHeight="1" x14ac:dyDescent="0.25">
      <c r="A648" s="42"/>
      <c r="B648" s="196">
        <f>'Input (2) &amp; Process (1)'!M177</f>
        <v>8</v>
      </c>
      <c r="C648" s="6">
        <f>'Input (2) &amp; Process (1)'!N177</f>
        <v>4106.9568000000008</v>
      </c>
      <c r="D648" s="6">
        <f>'Input (2) &amp; Process (1)'!O177</f>
        <v>636.99200000000008</v>
      </c>
      <c r="E648" s="6">
        <f>'Input (2) &amp; Process (1)'!P177</f>
        <v>-3938.6289877473982</v>
      </c>
      <c r="F648" s="6">
        <f>'Input (2) &amp; Process (1)'!Q177</f>
        <v>2372.44</v>
      </c>
      <c r="G648" s="6">
        <f>'Input (2) &amp; Process (1)'!R177</f>
        <v>13.562310800826157</v>
      </c>
      <c r="H648" s="6">
        <f>'Input (2) &amp; Process (1)'!S177</f>
        <v>96.10971428571429</v>
      </c>
      <c r="I648" s="6">
        <f>'Input (2) &amp; Process (1)'!T177</f>
        <v>1078.5966806786785</v>
      </c>
      <c r="J648" s="42"/>
      <c r="K648" s="42"/>
    </row>
    <row r="649" spans="1:11" ht="18.75" customHeight="1" x14ac:dyDescent="0.25">
      <c r="A649" s="42"/>
      <c r="B649" s="196">
        <f>'Input (2) &amp; Process (1)'!M178</f>
        <v>9</v>
      </c>
      <c r="C649" s="6">
        <f>'Input (2) &amp; Process (1)'!N178</f>
        <v>4475.9412000000011</v>
      </c>
      <c r="D649" s="6">
        <f>'Input (2) &amp; Process (1)'!O178</f>
        <v>694.22175000000004</v>
      </c>
      <c r="E649" s="6">
        <f>'Input (2) &amp; Process (1)'!P178</f>
        <v>-4292.4901858653284</v>
      </c>
      <c r="F649" s="6">
        <f>'Input (2) &amp; Process (1)'!Q178</f>
        <v>2603.4356250000001</v>
      </c>
      <c r="G649" s="6">
        <f>'Input (2) &amp; Process (1)'!R178</f>
        <v>15.257599650929427</v>
      </c>
      <c r="H649" s="6">
        <f>'Input (2) &amp; Process (1)'!S178</f>
        <v>104.74457142857143</v>
      </c>
      <c r="I649" s="6">
        <f>'Input (2) &amp; Process (1)'!T178</f>
        <v>1175.5018512084034</v>
      </c>
      <c r="J649" s="42"/>
      <c r="K649" s="42"/>
    </row>
    <row r="650" spans="1:11" ht="18.75" customHeight="1" x14ac:dyDescent="0.25">
      <c r="A650" s="42"/>
      <c r="B650" s="196">
        <f>'Input (2) &amp; Process (1)'!M179</f>
        <v>10</v>
      </c>
      <c r="C650" s="6">
        <f>'Input (2) &amp; Process (1)'!N179</f>
        <v>4812.8400000000011</v>
      </c>
      <c r="D650" s="6">
        <f>'Input (2) &amp; Process (1)'!O179</f>
        <v>746.47500000000014</v>
      </c>
      <c r="E650" s="6">
        <f>'Input (2) &amp; Process (1)'!P179</f>
        <v>-4615.5808450164823</v>
      </c>
      <c r="F650" s="6">
        <f>'Input (2) &amp; Process (1)'!Q179</f>
        <v>2819.8625000000002</v>
      </c>
      <c r="G650" s="6">
        <f>'Input (2) &amp; Process (1)'!R179</f>
        <v>16.952888501032696</v>
      </c>
      <c r="H650" s="6">
        <f>'Input (2) &amp; Process (1)'!S179</f>
        <v>112.62857142857143</v>
      </c>
      <c r="I650" s="6">
        <f>'Input (2) &amp; Process (1)'!T179</f>
        <v>1263.9804851703263</v>
      </c>
      <c r="J650" s="42"/>
      <c r="K650" s="42"/>
    </row>
    <row r="651" spans="1:11" ht="18.75" customHeight="1" x14ac:dyDescent="0.25">
      <c r="A651" s="42"/>
      <c r="B651" s="196">
        <f>'Input (2) &amp; Process (1)'!M180</f>
        <v>11</v>
      </c>
      <c r="C651" s="6">
        <f>'Input (2) &amp; Process (1)'!N180</f>
        <v>5117.6532000000007</v>
      </c>
      <c r="D651" s="6">
        <f>'Input (2) &amp; Process (1)'!O180</f>
        <v>793.75175000000013</v>
      </c>
      <c r="E651" s="6">
        <f>'Input (2) &amp; Process (1)'!P180</f>
        <v>-4907.9009652008599</v>
      </c>
      <c r="F651" s="6">
        <f>'Input (2) &amp; Process (1)'!Q180</f>
        <v>3021.7206250000004</v>
      </c>
      <c r="G651" s="6">
        <f>'Input (2) &amp; Process (1)'!R180</f>
        <v>18.648177351135967</v>
      </c>
      <c r="H651" s="6">
        <f>'Input (2) &amp; Process (1)'!S180</f>
        <v>119.76171428571429</v>
      </c>
      <c r="I651" s="6">
        <f>'Input (2) &amp; Process (1)'!T180</f>
        <v>1344.032582564447</v>
      </c>
      <c r="J651" s="42"/>
      <c r="K651" s="42"/>
    </row>
    <row r="652" spans="1:11" ht="18.75" customHeight="1" x14ac:dyDescent="0.25">
      <c r="A652" s="42"/>
      <c r="B652" s="196">
        <f>'Input (2) &amp; Process (1)'!M181</f>
        <v>12</v>
      </c>
      <c r="C652" s="6">
        <f>'Input (2) &amp; Process (1)'!N181</f>
        <v>5390.3808000000008</v>
      </c>
      <c r="D652" s="6">
        <f>'Input (2) &amp; Process (1)'!O181</f>
        <v>836.05200000000013</v>
      </c>
      <c r="E652" s="6">
        <f>'Input (2) &amp; Process (1)'!P181</f>
        <v>-5169.4505464184604</v>
      </c>
      <c r="F652" s="6">
        <f>'Input (2) &amp; Process (1)'!Q181</f>
        <v>3209.01</v>
      </c>
      <c r="G652" s="6">
        <f>'Input (2) &amp; Process (1)'!R181</f>
        <v>20.343466201239234</v>
      </c>
      <c r="H652" s="6">
        <f>'Input (2) &amp; Process (1)'!S181</f>
        <v>126.14400000000001</v>
      </c>
      <c r="I652" s="6">
        <f>'Input (2) &amp; Process (1)'!T181</f>
        <v>1415.6581433907654</v>
      </c>
      <c r="J652" s="42"/>
      <c r="K652" s="42"/>
    </row>
    <row r="653" spans="1:11" ht="18.75" customHeight="1" x14ac:dyDescent="0.25">
      <c r="A653" s="42"/>
      <c r="B653" s="196">
        <f>'Input (2) &amp; Process (1)'!M182</f>
        <v>13</v>
      </c>
      <c r="C653" s="6">
        <f>'Input (2) &amp; Process (1)'!N182</f>
        <v>5631.0228000000016</v>
      </c>
      <c r="D653" s="6">
        <f>'Input (2) &amp; Process (1)'!O182</f>
        <v>873.37575000000015</v>
      </c>
      <c r="E653" s="6">
        <f>'Input (2) &amp; Process (1)'!P182</f>
        <v>-5400.2295886692846</v>
      </c>
      <c r="F653" s="6">
        <f>'Input (2) &amp; Process (1)'!Q182</f>
        <v>3381.7306250000001</v>
      </c>
      <c r="G653" s="6">
        <f>'Input (2) &amp; Process (1)'!R182</f>
        <v>22.038755051342505</v>
      </c>
      <c r="H653" s="6">
        <f>'Input (2) &amp; Process (1)'!S182</f>
        <v>131.77542857142856</v>
      </c>
      <c r="I653" s="6">
        <f>'Input (2) &amp; Process (1)'!T182</f>
        <v>1478.8571676492818</v>
      </c>
      <c r="J653" s="42"/>
      <c r="K653" s="42"/>
    </row>
    <row r="654" spans="1:11" ht="18.75" customHeight="1" x14ac:dyDescent="0.25">
      <c r="A654" s="42"/>
      <c r="B654" s="196">
        <f>'Input (2) &amp; Process (1)'!M183</f>
        <v>14</v>
      </c>
      <c r="C654" s="6">
        <f>'Input (2) &amp; Process (1)'!N183</f>
        <v>5839.579200000001</v>
      </c>
      <c r="D654" s="6">
        <f>'Input (2) &amp; Process (1)'!O183</f>
        <v>905.72300000000007</v>
      </c>
      <c r="E654" s="6">
        <f>'Input (2) &amp; Process (1)'!P183</f>
        <v>-5600.2380919533316</v>
      </c>
      <c r="F654" s="6">
        <f>'Input (2) &amp; Process (1)'!Q183</f>
        <v>3539.8825000000002</v>
      </c>
      <c r="G654" s="6">
        <f>'Input (2) &amp; Process (1)'!R183</f>
        <v>23.734043901445773</v>
      </c>
      <c r="H654" s="6">
        <f>'Input (2) &amp; Process (1)'!S183</f>
        <v>136.65600000000001</v>
      </c>
      <c r="I654" s="6">
        <f>'Input (2) &amp; Process (1)'!T183</f>
        <v>1533.6296553399959</v>
      </c>
      <c r="J654" s="42"/>
      <c r="K654" s="42"/>
    </row>
    <row r="655" spans="1:11" ht="18.75" customHeight="1" x14ac:dyDescent="0.25">
      <c r="A655" s="42"/>
      <c r="B655" s="196">
        <f>'Input (2) &amp; Process (1)'!M184</f>
        <v>15</v>
      </c>
      <c r="C655" s="6">
        <f>'Input (2) &amp; Process (1)'!N184</f>
        <v>6016.0500000000011</v>
      </c>
      <c r="D655" s="6">
        <f>'Input (2) &amp; Process (1)'!O184</f>
        <v>933.09375000000011</v>
      </c>
      <c r="E655" s="6">
        <f>'Input (2) &amp; Process (1)'!P184</f>
        <v>-5769.4760562706033</v>
      </c>
      <c r="F655" s="6">
        <f>'Input (2) &amp; Process (1)'!Q184</f>
        <v>3683.4656250000003</v>
      </c>
      <c r="G655" s="6">
        <f>'Input (2) &amp; Process (1)'!R184</f>
        <v>25.429332751549044</v>
      </c>
      <c r="H655" s="6">
        <f>'Input (2) &amp; Process (1)'!S184</f>
        <v>140.78571428571428</v>
      </c>
      <c r="I655" s="6">
        <f>'Input (2) &amp; Process (1)'!T184</f>
        <v>1579.975606462908</v>
      </c>
      <c r="J655" s="42"/>
      <c r="K655" s="42"/>
    </row>
    <row r="656" spans="1:11" ht="18.75" customHeight="1" x14ac:dyDescent="0.25">
      <c r="A656" s="42"/>
      <c r="B656" s="196">
        <f>'Input (2) &amp; Process (1)'!M185</f>
        <v>16</v>
      </c>
      <c r="C656" s="6">
        <f>'Input (2) &amp; Process (1)'!N185</f>
        <v>6160.4352000000017</v>
      </c>
      <c r="D656" s="6">
        <f>'Input (2) &amp; Process (1)'!O185</f>
        <v>955.48800000000006</v>
      </c>
      <c r="E656" s="6">
        <f>'Input (2) &amp; Process (1)'!P185</f>
        <v>-5907.9434816210978</v>
      </c>
      <c r="F656" s="6">
        <f>'Input (2) &amp; Process (1)'!Q185</f>
        <v>3812.4800000000005</v>
      </c>
      <c r="G656" s="6">
        <f>'Input (2) &amp; Process (1)'!R185</f>
        <v>27.124621601652315</v>
      </c>
      <c r="H656" s="6">
        <f>'Input (2) &amp; Process (1)'!S185</f>
        <v>144.16457142857143</v>
      </c>
      <c r="I656" s="6">
        <f>'Input (2) &amp; Process (1)'!T185</f>
        <v>1617.8950210180178</v>
      </c>
      <c r="J656" s="42"/>
      <c r="K656" s="42"/>
    </row>
    <row r="657" spans="1:11" ht="18.75" customHeight="1" x14ac:dyDescent="0.25">
      <c r="A657" s="42"/>
      <c r="B657" s="196">
        <f>'Input (2) &amp; Process (1)'!M186</f>
        <v>17</v>
      </c>
      <c r="C657" s="6">
        <f>'Input (2) &amp; Process (1)'!N186</f>
        <v>6272.7348000000011</v>
      </c>
      <c r="D657" s="6">
        <f>'Input (2) &amp; Process (1)'!O186</f>
        <v>972.90575000000013</v>
      </c>
      <c r="E657" s="6">
        <f>'Input (2) &amp; Process (1)'!P186</f>
        <v>-6015.6403680048152</v>
      </c>
      <c r="F657" s="6">
        <f>'Input (2) &amp; Process (1)'!Q186</f>
        <v>3926.9256249999999</v>
      </c>
      <c r="G657" s="6">
        <f>'Input (2) &amp; Process (1)'!R186</f>
        <v>28.819910451755582</v>
      </c>
      <c r="H657" s="6">
        <f>'Input (2) &amp; Process (1)'!S186</f>
        <v>146.79257142857142</v>
      </c>
      <c r="I657" s="6">
        <f>'Input (2) &amp; Process (1)'!T186</f>
        <v>1647.3878990053254</v>
      </c>
      <c r="J657" s="42"/>
      <c r="K657" s="42"/>
    </row>
    <row r="658" spans="1:11" ht="18.75" customHeight="1" x14ac:dyDescent="0.25">
      <c r="A658" s="42"/>
      <c r="B658" s="196">
        <f>'Input (2) &amp; Process (1)'!M187</f>
        <v>18</v>
      </c>
      <c r="C658" s="6">
        <f>'Input (2) &amp; Process (1)'!N187</f>
        <v>6352.948800000001</v>
      </c>
      <c r="D658" s="6">
        <f>'Input (2) &amp; Process (1)'!O187</f>
        <v>985.34700000000009</v>
      </c>
      <c r="E658" s="6">
        <f>'Input (2) &amp; Process (1)'!P187</f>
        <v>-6092.5667154217563</v>
      </c>
      <c r="F658" s="6">
        <f>'Input (2) &amp; Process (1)'!Q187</f>
        <v>4026.8025000000002</v>
      </c>
      <c r="G658" s="6">
        <f>'Input (2) &amp; Process (1)'!R187</f>
        <v>30.515199301858853</v>
      </c>
      <c r="H658" s="6">
        <f>'Input (2) &amp; Process (1)'!S187</f>
        <v>148.66971428571429</v>
      </c>
      <c r="I658" s="6">
        <f>'Input (2) &amp; Process (1)'!T187</f>
        <v>1668.4542404248307</v>
      </c>
      <c r="J658" s="42"/>
      <c r="K658" s="42"/>
    </row>
    <row r="659" spans="1:11" ht="18.75" customHeight="1" x14ac:dyDescent="0.25">
      <c r="A659" s="42"/>
      <c r="B659" s="196">
        <f>'Input (2) &amp; Process (1)'!M188</f>
        <v>19</v>
      </c>
      <c r="C659" s="6">
        <f>'Input (2) &amp; Process (1)'!N188</f>
        <v>6401.0772000000015</v>
      </c>
      <c r="D659" s="6">
        <f>'Input (2) &amp; Process (1)'!O188</f>
        <v>992.81175000000007</v>
      </c>
      <c r="E659" s="6">
        <f>'Input (2) &amp; Process (1)'!P188</f>
        <v>-6138.7225238719211</v>
      </c>
      <c r="F659" s="6">
        <f>'Input (2) &amp; Process (1)'!Q188</f>
        <v>4112.1106250000003</v>
      </c>
      <c r="G659" s="6">
        <f>'Input (2) &amp; Process (1)'!R188</f>
        <v>32.210488151962117</v>
      </c>
      <c r="H659" s="6">
        <f>'Input (2) &amp; Process (1)'!S188</f>
        <v>149.79599999999999</v>
      </c>
      <c r="I659" s="6">
        <f>'Input (2) &amp; Process (1)'!T188</f>
        <v>1681.094045276534</v>
      </c>
      <c r="J659" s="42"/>
      <c r="K659" s="42"/>
    </row>
    <row r="660" spans="1:11" ht="18.75" customHeight="1" x14ac:dyDescent="0.25">
      <c r="A660" s="42"/>
      <c r="B660" s="196">
        <f>'Input (2) &amp; Process (1)'!M189</f>
        <v>20</v>
      </c>
      <c r="C660" s="6">
        <f>'Input (2) &amp; Process (1)'!N189</f>
        <v>6417.1200000000017</v>
      </c>
      <c r="D660" s="6">
        <f>'Input (2) &amp; Process (1)'!O189</f>
        <v>995.30000000000007</v>
      </c>
      <c r="E660" s="6">
        <f>'Input (2) &amp; Process (1)'!P189</f>
        <v>-6154.1077933553097</v>
      </c>
      <c r="F660" s="6">
        <f>'Input (2) &amp; Process (1)'!Q189</f>
        <v>4182.8500000000004</v>
      </c>
      <c r="G660" s="6">
        <f>'Input (2) &amp; Process (1)'!R189</f>
        <v>33.905777002065392</v>
      </c>
      <c r="H660" s="6">
        <f>'Input (2) &amp; Process (1)'!S189</f>
        <v>150.17142857142858</v>
      </c>
      <c r="I660" s="6">
        <f>'Input (2) &amp; Process (1)'!T189</f>
        <v>1685.3073135604352</v>
      </c>
      <c r="J660" s="42"/>
      <c r="K660" s="42"/>
    </row>
    <row r="661" spans="1:11" ht="18.75" customHeight="1" x14ac:dyDescent="0.25">
      <c r="A661" s="328"/>
      <c r="J661" s="42"/>
      <c r="K661" s="42"/>
    </row>
    <row r="662" spans="1:11" ht="18.75" customHeight="1" x14ac:dyDescent="0.25">
      <c r="A662" s="328"/>
      <c r="J662" s="42"/>
      <c r="K662" s="42"/>
    </row>
    <row r="663" spans="1:11" ht="18.75" customHeight="1" x14ac:dyDescent="0.25">
      <c r="A663" s="328"/>
      <c r="B663" s="617"/>
      <c r="C663" s="159" t="s">
        <v>854</v>
      </c>
      <c r="D663" s="159" t="s">
        <v>855</v>
      </c>
      <c r="E663" s="159" t="s">
        <v>856</v>
      </c>
      <c r="F663" s="159" t="s">
        <v>857</v>
      </c>
      <c r="G663" s="159" t="s">
        <v>858</v>
      </c>
      <c r="H663" s="159" t="s">
        <v>859</v>
      </c>
      <c r="I663" s="159" t="s">
        <v>860</v>
      </c>
      <c r="J663" s="42"/>
      <c r="K663" s="42"/>
    </row>
    <row r="664" spans="1:11" ht="18.75" customHeight="1" x14ac:dyDescent="0.25">
      <c r="A664" s="328"/>
      <c r="B664" s="618"/>
      <c r="C664" s="193" t="str">
        <f>'Input (2) &amp; Process (1)'!U168</f>
        <v>Kn.m</v>
      </c>
      <c r="D664" s="193" t="str">
        <f>'Input (2) &amp; Process (1)'!V168</f>
        <v>Kn.m</v>
      </c>
      <c r="E664" s="193" t="str">
        <f>'Input (2) &amp; Process (1)'!W168</f>
        <v>Kn.m</v>
      </c>
      <c r="F664" s="193" t="str">
        <f>'Input (2) &amp; Process (1)'!X168</f>
        <v>Kn.m</v>
      </c>
      <c r="G664" s="193" t="str">
        <f>'Input (2) &amp; Process (1)'!Y168</f>
        <v>Kn.m</v>
      </c>
      <c r="H664" s="193" t="str">
        <f>'Input (2) &amp; Process (1)'!Z168</f>
        <v>Kn.m</v>
      </c>
      <c r="I664" s="193" t="str">
        <f>'Input (2) &amp; Process (1)'!AA168</f>
        <v>Kn.m</v>
      </c>
      <c r="J664" s="42"/>
      <c r="K664" s="42"/>
    </row>
    <row r="665" spans="1:11" ht="18.75" customHeight="1" x14ac:dyDescent="0.25">
      <c r="A665" s="328"/>
      <c r="B665" s="196">
        <f t="shared" ref="B665:B685" si="0">B640</f>
        <v>0</v>
      </c>
      <c r="C665" s="6">
        <f>'Input (2) &amp; Process (1)'!U169</f>
        <v>0</v>
      </c>
      <c r="D665" s="6">
        <f>'Input (2) &amp; Process (1)'!V169</f>
        <v>0</v>
      </c>
      <c r="E665" s="6">
        <f>'Input (2) &amp; Process (1)'!W169</f>
        <v>0</v>
      </c>
      <c r="F665" s="6">
        <f>'Input (2) &amp; Process (1)'!X169</f>
        <v>0</v>
      </c>
      <c r="G665" s="6">
        <f>'Input (2) &amp; Process (1)'!Y169</f>
        <v>0</v>
      </c>
      <c r="H665" s="6">
        <f>'Input (2) &amp; Process (1)'!Z169</f>
        <v>0</v>
      </c>
      <c r="I665" s="6">
        <f>'Input (2) &amp; Process (1)'!AA169</f>
        <v>0</v>
      </c>
      <c r="J665" s="42"/>
      <c r="K665" s="42"/>
    </row>
    <row r="666" spans="1:11" ht="18.75" customHeight="1" x14ac:dyDescent="0.25">
      <c r="A666" s="328"/>
      <c r="B666" s="196">
        <f t="shared" si="0"/>
        <v>1</v>
      </c>
      <c r="C666" s="6">
        <f>'Input (2) &amp; Process (1)'!U170</f>
        <v>535.86330720531771</v>
      </c>
      <c r="D666" s="6">
        <f>'Input (2) &amp; Process (1)'!V170</f>
        <v>1036.0615950780434</v>
      </c>
      <c r="E666" s="6">
        <f>'Input (2) &amp; Process (1)'!W170</f>
        <v>896.36522953800204</v>
      </c>
      <c r="F666" s="6">
        <f>'Input (2) &amp; Process (1)'!X170</f>
        <v>637.47239844885689</v>
      </c>
      <c r="G666" s="6">
        <f>'Input (2) &amp; Process (1)'!Y170</f>
        <v>1007.4534600000002</v>
      </c>
      <c r="H666" s="6">
        <f>'Input (2) &amp; Process (1)'!Z170</f>
        <v>487.79664966242871</v>
      </c>
      <c r="I666" s="6">
        <f>'Input (2) &amp; Process (1)'!AA170</f>
        <v>1036.0615950780434</v>
      </c>
      <c r="J666" s="42"/>
      <c r="K666" s="42"/>
    </row>
    <row r="667" spans="1:11" ht="18.75" customHeight="1" x14ac:dyDescent="0.25">
      <c r="A667" s="328"/>
      <c r="B667" s="196">
        <f t="shared" si="0"/>
        <v>2</v>
      </c>
      <c r="C667" s="6">
        <f>'Input (2) &amp; Process (1)'!U171</f>
        <v>1047.5874852642141</v>
      </c>
      <c r="D667" s="6">
        <f>'Input (2) &amp; Process (1)'!V171</f>
        <v>2025.0056991228635</v>
      </c>
      <c r="E667" s="6">
        <f>'Input (2) &amp; Process (1)'!W171</f>
        <v>1751.4404680427806</v>
      </c>
      <c r="F667" s="6">
        <f>'Input (2) &amp; Process (1)'!X171</f>
        <v>1242.2539046695672</v>
      </c>
      <c r="G667" s="6">
        <f>'Input (2) &amp; Process (1)'!Y171</f>
        <v>1963.2426400000004</v>
      </c>
      <c r="H667" s="6">
        <f>'Input (2) &amp; Process (1)'!Z171</f>
        <v>950.57808652165591</v>
      </c>
      <c r="I667" s="6">
        <f>'Input (2) &amp; Process (1)'!AA171</f>
        <v>2025.0056991228635</v>
      </c>
      <c r="J667" s="42"/>
      <c r="K667" s="42"/>
    </row>
    <row r="668" spans="1:11" ht="18.75" customHeight="1" x14ac:dyDescent="0.25">
      <c r="A668" s="328"/>
      <c r="B668" s="196">
        <f t="shared" si="0"/>
        <v>3</v>
      </c>
      <c r="C668" s="6">
        <f>'Input (2) &amp; Process (1)'!U172</f>
        <v>1535.1725341766894</v>
      </c>
      <c r="D668" s="6">
        <f>'Input (2) &amp; Process (1)'!V172</f>
        <v>2966.8323121344602</v>
      </c>
      <c r="E668" s="6">
        <f>'Input (2) &amp; Process (1)'!W172</f>
        <v>2565.2257155143361</v>
      </c>
      <c r="F668" s="6">
        <f>'Input (2) &amp; Process (1)'!X172</f>
        <v>1814.3445186621311</v>
      </c>
      <c r="G668" s="6">
        <f>'Input (2) &amp; Process (1)'!Y172</f>
        <v>2867.3675400000006</v>
      </c>
      <c r="H668" s="6">
        <f>'Input (2) &amp; Process (1)'!Z172</f>
        <v>1388.3443105776821</v>
      </c>
      <c r="I668" s="6">
        <f>'Input (2) &amp; Process (1)'!AA172</f>
        <v>2966.8323121344602</v>
      </c>
      <c r="J668" s="42"/>
      <c r="K668" s="42"/>
    </row>
    <row r="669" spans="1:11" ht="18.75" customHeight="1" x14ac:dyDescent="0.25">
      <c r="A669" s="328"/>
      <c r="B669" s="196">
        <f t="shared" si="0"/>
        <v>4</v>
      </c>
      <c r="C669" s="6">
        <f>'Input (2) &amp; Process (1)'!U173</f>
        <v>1998.6184539427434</v>
      </c>
      <c r="D669" s="6">
        <f>'Input (2) &amp; Process (1)'!V173</f>
        <v>3861.5414341128326</v>
      </c>
      <c r="E669" s="6">
        <f>'Input (2) &amp; Process (1)'!W173</f>
        <v>3337.7209719526672</v>
      </c>
      <c r="F669" s="6">
        <f>'Input (2) &amp; Process (1)'!X173</f>
        <v>2353.7442404265485</v>
      </c>
      <c r="G669" s="6">
        <f>'Input (2) &amp; Process (1)'!Y173</f>
        <v>3719.8281600000005</v>
      </c>
      <c r="H669" s="6">
        <f>'Input (2) &amp; Process (1)'!Z173</f>
        <v>1801.095321830506</v>
      </c>
      <c r="I669" s="6">
        <f>'Input (2) &amp; Process (1)'!AA173</f>
        <v>3861.5414341128326</v>
      </c>
      <c r="J669" s="42"/>
      <c r="K669" s="42"/>
    </row>
    <row r="670" spans="1:11" ht="18.75" customHeight="1" x14ac:dyDescent="0.25">
      <c r="A670" s="328"/>
      <c r="B670" s="196">
        <f t="shared" si="0"/>
        <v>5</v>
      </c>
      <c r="C670" s="6">
        <f>'Input (2) &amp; Process (1)'!U174</f>
        <v>2437.9252445623756</v>
      </c>
      <c r="D670" s="6">
        <f>'Input (2) &amp; Process (1)'!V174</f>
        <v>4709.1330650579821</v>
      </c>
      <c r="E670" s="6">
        <f>'Input (2) &amp; Process (1)'!W174</f>
        <v>4068.9262373577758</v>
      </c>
      <c r="F670" s="6">
        <f>'Input (2) &amp; Process (1)'!X174</f>
        <v>2860.4530699628194</v>
      </c>
      <c r="G670" s="6">
        <f>'Input (2) &amp; Process (1)'!Y174</f>
        <v>4520.6245000000008</v>
      </c>
      <c r="H670" s="6">
        <f>'Input (2) &amp; Process (1)'!Z174</f>
        <v>2188.8311202801287</v>
      </c>
      <c r="I670" s="6">
        <f>'Input (2) &amp; Process (1)'!AA174</f>
        <v>4709.1330650579821</v>
      </c>
      <c r="J670" s="42"/>
      <c r="K670" s="42"/>
    </row>
    <row r="671" spans="1:11" ht="18.75" customHeight="1" x14ac:dyDescent="0.25">
      <c r="A671" s="328"/>
      <c r="B671" s="196">
        <f t="shared" si="0"/>
        <v>6</v>
      </c>
      <c r="C671" s="6">
        <f>'Input (2) &amp; Process (1)'!U175</f>
        <v>2853.0929060355879</v>
      </c>
      <c r="D671" s="6">
        <f>'Input (2) &amp; Process (1)'!V175</f>
        <v>5509.6072049699087</v>
      </c>
      <c r="E671" s="6">
        <f>'Input (2) &amp; Process (1)'!W175</f>
        <v>4758.8415117296609</v>
      </c>
      <c r="F671" s="6">
        <f>'Input (2) &amp; Process (1)'!X175</f>
        <v>3334.4710072709436</v>
      </c>
      <c r="G671" s="6">
        <f>'Input (2) &amp; Process (1)'!Y175</f>
        <v>5269.7565600000007</v>
      </c>
      <c r="H671" s="6">
        <f>'Input (2) &amp; Process (1)'!Z175</f>
        <v>2551.5517059265503</v>
      </c>
      <c r="I671" s="6">
        <f>'Input (2) &amp; Process (1)'!AA175</f>
        <v>5509.6072049699087</v>
      </c>
      <c r="J671" s="42"/>
      <c r="K671" s="42"/>
    </row>
    <row r="672" spans="1:11" ht="18.75" customHeight="1" x14ac:dyDescent="0.25">
      <c r="A672" s="328"/>
      <c r="B672" s="196">
        <f t="shared" si="0"/>
        <v>7</v>
      </c>
      <c r="C672" s="6">
        <f>'Input (2) &amp; Process (1)'!U176</f>
        <v>3244.1214383623783</v>
      </c>
      <c r="D672" s="6">
        <f>'Input (2) &amp; Process (1)'!V176</f>
        <v>6262.9638538486106</v>
      </c>
      <c r="E672" s="6">
        <f>'Input (2) &amp; Process (1)'!W176</f>
        <v>5407.4667950683215</v>
      </c>
      <c r="F672" s="6">
        <f>'Input (2) &amp; Process (1)'!X176</f>
        <v>3775.7980523509209</v>
      </c>
      <c r="G672" s="6">
        <f>'Input (2) &amp; Process (1)'!Y176</f>
        <v>5967.2243400000007</v>
      </c>
      <c r="H672" s="6">
        <f>'Input (2) &amp; Process (1)'!Z176</f>
        <v>2889.25707876977</v>
      </c>
      <c r="I672" s="6">
        <f>'Input (2) &amp; Process (1)'!AA176</f>
        <v>6262.9638538486106</v>
      </c>
      <c r="J672" s="42"/>
      <c r="K672" s="42"/>
    </row>
    <row r="673" spans="1:11" ht="18.75" customHeight="1" x14ac:dyDescent="0.25">
      <c r="A673" s="328"/>
      <c r="B673" s="196">
        <f t="shared" si="0"/>
        <v>8</v>
      </c>
      <c r="C673" s="6">
        <f>'Input (2) &amp; Process (1)'!U177</f>
        <v>3611.0108415427467</v>
      </c>
      <c r="D673" s="6">
        <f>'Input (2) &amp; Process (1)'!V177</f>
        <v>6969.2030116940905</v>
      </c>
      <c r="E673" s="6">
        <f>'Input (2) &amp; Process (1)'!W177</f>
        <v>6014.8020873737605</v>
      </c>
      <c r="F673" s="6">
        <f>'Input (2) &amp; Process (1)'!X177</f>
        <v>4184.4342052027532</v>
      </c>
      <c r="G673" s="6">
        <f>'Input (2) &amp; Process (1)'!Y177</f>
        <v>6613.0278400000016</v>
      </c>
      <c r="H673" s="6">
        <f>'Input (2) &amp; Process (1)'!Z177</f>
        <v>3201.9472388097893</v>
      </c>
      <c r="I673" s="6">
        <f>'Input (2) &amp; Process (1)'!AA177</f>
        <v>6969.2030116940905</v>
      </c>
      <c r="J673" s="42"/>
      <c r="K673" s="42"/>
    </row>
    <row r="674" spans="1:11" ht="18.75" customHeight="1" x14ac:dyDescent="0.25">
      <c r="A674" s="328"/>
      <c r="B674" s="196">
        <f t="shared" si="0"/>
        <v>9</v>
      </c>
      <c r="C674" s="6">
        <f>'Input (2) &amp; Process (1)'!U178</f>
        <v>3953.7611155766945</v>
      </c>
      <c r="D674" s="6">
        <f>'Input (2) &amp; Process (1)'!V178</f>
        <v>7628.3246785063466</v>
      </c>
      <c r="E674" s="6">
        <f>'Input (2) &amp; Process (1)'!W178</f>
        <v>6580.8473886459742</v>
      </c>
      <c r="F674" s="6">
        <f>'Input (2) &amp; Process (1)'!X178</f>
        <v>4560.3794658264378</v>
      </c>
      <c r="G674" s="6">
        <f>'Input (2) &amp; Process (1)'!Y178</f>
        <v>7207.1670600000016</v>
      </c>
      <c r="H674" s="6">
        <f>'Input (2) &amp; Process (1)'!Z178</f>
        <v>3489.6221860466057</v>
      </c>
      <c r="I674" s="6">
        <f>'Input (2) &amp; Process (1)'!AA178</f>
        <v>7628.3246785063466</v>
      </c>
      <c r="J674" s="42"/>
      <c r="K674" s="42"/>
    </row>
    <row r="675" spans="1:11" ht="18.75" customHeight="1" x14ac:dyDescent="0.25">
      <c r="A675" s="328"/>
      <c r="B675" s="196">
        <f t="shared" si="0"/>
        <v>10</v>
      </c>
      <c r="C675" s="6">
        <f>'Input (2) &amp; Process (1)'!U179</f>
        <v>4272.3722604642217</v>
      </c>
      <c r="D675" s="6">
        <f>'Input (2) &amp; Process (1)'!V179</f>
        <v>8240.3288542853788</v>
      </c>
      <c r="E675" s="6">
        <f>'Input (2) &amp; Process (1)'!W179</f>
        <v>7105.6026988849653</v>
      </c>
      <c r="F675" s="6">
        <f>'Input (2) &amp; Process (1)'!X179</f>
        <v>4903.633834221976</v>
      </c>
      <c r="G675" s="6">
        <f>'Input (2) &amp; Process (1)'!Y179</f>
        <v>7749.6420000000016</v>
      </c>
      <c r="H675" s="6">
        <f>'Input (2) &amp; Process (1)'!Z179</f>
        <v>3752.2819204802213</v>
      </c>
      <c r="I675" s="6">
        <f>'Input (2) &amp; Process (1)'!AA179</f>
        <v>8240.3288542853788</v>
      </c>
      <c r="J675" s="42"/>
      <c r="K675" s="42"/>
    </row>
    <row r="676" spans="1:11" ht="18.75" customHeight="1" x14ac:dyDescent="0.25">
      <c r="A676" s="328"/>
      <c r="B676" s="196">
        <f t="shared" si="0"/>
        <v>11</v>
      </c>
      <c r="C676" s="6">
        <f>'Input (2) &amp; Process (1)'!U180</f>
        <v>4566.8442762053255</v>
      </c>
      <c r="D676" s="6">
        <f>'Input (2) &amp; Process (1)'!V180</f>
        <v>8805.2155390311855</v>
      </c>
      <c r="E676" s="6">
        <f>'Input (2) &amp; Process (1)'!W180</f>
        <v>7589.0680180907311</v>
      </c>
      <c r="F676" s="6">
        <f>'Input (2) &amp; Process (1)'!X180</f>
        <v>5214.197310389367</v>
      </c>
      <c r="G676" s="6">
        <f>'Input (2) &amp; Process (1)'!Y180</f>
        <v>8240.4526600000008</v>
      </c>
      <c r="H676" s="6">
        <f>'Input (2) &amp; Process (1)'!Z180</f>
        <v>3989.9264421106341</v>
      </c>
      <c r="I676" s="6">
        <f>'Input (2) &amp; Process (1)'!AA180</f>
        <v>8805.2155390311855</v>
      </c>
      <c r="J676" s="42"/>
      <c r="K676" s="42"/>
    </row>
    <row r="677" spans="1:11" ht="18.75" customHeight="1" x14ac:dyDescent="0.25">
      <c r="A677" s="328"/>
      <c r="B677" s="196">
        <f t="shared" si="0"/>
        <v>12</v>
      </c>
      <c r="C677" s="6">
        <f>'Input (2) &amp; Process (1)'!U181</f>
        <v>4837.1771628000097</v>
      </c>
      <c r="D677" s="6">
        <f>'Input (2) &amp; Process (1)'!V181</f>
        <v>9322.984732743771</v>
      </c>
      <c r="E677" s="6">
        <f>'Input (2) &amp; Process (1)'!W181</f>
        <v>8031.2433462632753</v>
      </c>
      <c r="F677" s="6">
        <f>'Input (2) &amp; Process (1)'!X181</f>
        <v>5492.0698943286116</v>
      </c>
      <c r="G677" s="6">
        <f>'Input (2) &amp; Process (1)'!Y181</f>
        <v>8679.599040000001</v>
      </c>
      <c r="H677" s="6">
        <f>'Input (2) &amp; Process (1)'!Z181</f>
        <v>4202.5557509378468</v>
      </c>
      <c r="I677" s="6">
        <f>'Input (2) &amp; Process (1)'!AA181</f>
        <v>9322.984732743771</v>
      </c>
      <c r="J677" s="42"/>
      <c r="K677" s="42"/>
    </row>
    <row r="678" spans="1:11" ht="18.75" customHeight="1" x14ac:dyDescent="0.25">
      <c r="A678" s="328"/>
      <c r="B678" s="196">
        <f t="shared" si="0"/>
        <v>13</v>
      </c>
      <c r="C678" s="6">
        <f>'Input (2) &amp; Process (1)'!U182</f>
        <v>5083.3709202482723</v>
      </c>
      <c r="D678" s="6">
        <f>'Input (2) &amp; Process (1)'!V182</f>
        <v>9793.6364354231337</v>
      </c>
      <c r="E678" s="6">
        <f>'Input (2) &amp; Process (1)'!W182</f>
        <v>8432.1286834025959</v>
      </c>
      <c r="F678" s="6">
        <f>'Input (2) &amp; Process (1)'!X182</f>
        <v>5737.2515860397125</v>
      </c>
      <c r="G678" s="6">
        <f>'Input (2) &amp; Process (1)'!Y182</f>
        <v>9067.0811400000021</v>
      </c>
      <c r="H678" s="6">
        <f>'Input (2) &amp; Process (1)'!Z182</f>
        <v>4390.1698469618586</v>
      </c>
      <c r="I678" s="6">
        <f>'Input (2) &amp; Process (1)'!AA182</f>
        <v>9793.6364354231337</v>
      </c>
      <c r="J678" s="42"/>
      <c r="K678" s="42"/>
    </row>
    <row r="679" spans="1:11" ht="18.75" customHeight="1" x14ac:dyDescent="0.25">
      <c r="A679" s="328"/>
      <c r="B679" s="196">
        <f t="shared" si="0"/>
        <v>14</v>
      </c>
      <c r="C679" s="6">
        <f>'Input (2) &amp; Process (1)'!U183</f>
        <v>5305.4255485501144</v>
      </c>
      <c r="D679" s="6">
        <f>'Input (2) &amp; Process (1)'!V183</f>
        <v>10217.170647069273</v>
      </c>
      <c r="E679" s="6">
        <f>'Input (2) &amp; Process (1)'!W183</f>
        <v>8791.724029508694</v>
      </c>
      <c r="F679" s="6">
        <f>'Input (2) &amp; Process (1)'!X183</f>
        <v>5949.7423855226643</v>
      </c>
      <c r="G679" s="6">
        <f>'Input (2) &amp; Process (1)'!Y183</f>
        <v>9402.8989600000023</v>
      </c>
      <c r="H679" s="6">
        <f>'Input (2) &amp; Process (1)'!Z183</f>
        <v>4552.7687301826691</v>
      </c>
      <c r="I679" s="6">
        <f>'Input (2) &amp; Process (1)'!AA183</f>
        <v>10217.170647069273</v>
      </c>
      <c r="J679" s="42"/>
      <c r="K679" s="42"/>
    </row>
    <row r="680" spans="1:11" ht="18.75" customHeight="1" x14ac:dyDescent="0.25">
      <c r="A680" s="328"/>
      <c r="B680" s="196">
        <f t="shared" si="0"/>
        <v>15</v>
      </c>
      <c r="C680" s="6">
        <f>'Input (2) &amp; Process (1)'!U184</f>
        <v>5503.341047705534</v>
      </c>
      <c r="D680" s="6">
        <f>'Input (2) &amp; Process (1)'!V184</f>
        <v>10593.587367682187</v>
      </c>
      <c r="E680" s="6">
        <f>'Input (2) &amp; Process (1)'!W184</f>
        <v>9110.0293845815668</v>
      </c>
      <c r="F680" s="6">
        <f>'Input (2) &amp; Process (1)'!X184</f>
        <v>6129.5422927774689</v>
      </c>
      <c r="G680" s="6">
        <f>'Input (2) &amp; Process (1)'!Y184</f>
        <v>9687.0525000000016</v>
      </c>
      <c r="H680" s="6">
        <f>'Input (2) &amp; Process (1)'!Z184</f>
        <v>4690.3524006002763</v>
      </c>
      <c r="I680" s="6">
        <f>'Input (2) &amp; Process (1)'!AA184</f>
        <v>10593.587367682187</v>
      </c>
      <c r="J680" s="42"/>
      <c r="K680" s="42"/>
    </row>
    <row r="681" spans="1:11" ht="18.75" customHeight="1" x14ac:dyDescent="0.25">
      <c r="A681" s="328"/>
      <c r="B681" s="196">
        <f t="shared" si="0"/>
        <v>16</v>
      </c>
      <c r="C681" s="6">
        <f>'Input (2) &amp; Process (1)'!U185</f>
        <v>5677.117417714534</v>
      </c>
      <c r="D681" s="6">
        <f>'Input (2) &amp; Process (1)'!V185</f>
        <v>10922.886597261881</v>
      </c>
      <c r="E681" s="6">
        <f>'Input (2) &amp; Process (1)'!W185</f>
        <v>9387.0447486212179</v>
      </c>
      <c r="F681" s="6">
        <f>'Input (2) &amp; Process (1)'!X185</f>
        <v>6276.6513078041289</v>
      </c>
      <c r="G681" s="6">
        <f>'Input (2) &amp; Process (1)'!Y185</f>
        <v>9919.5417600000019</v>
      </c>
      <c r="H681" s="6">
        <f>'Input (2) &amp; Process (1)'!Z185</f>
        <v>4802.920858214683</v>
      </c>
      <c r="I681" s="6">
        <f>'Input (2) &amp; Process (1)'!AA185</f>
        <v>10922.886597261881</v>
      </c>
      <c r="J681" s="42"/>
      <c r="K681" s="42"/>
    </row>
    <row r="682" spans="1:11" ht="18.75" customHeight="1" x14ac:dyDescent="0.25">
      <c r="A682" s="328"/>
      <c r="B682" s="196">
        <f t="shared" si="0"/>
        <v>17</v>
      </c>
      <c r="C682" s="6">
        <f>'Input (2) &amp; Process (1)'!U186</f>
        <v>5826.7546585771097</v>
      </c>
      <c r="D682" s="6">
        <f>'Input (2) &amp; Process (1)'!V186</f>
        <v>11205.068335808346</v>
      </c>
      <c r="E682" s="6">
        <f>'Input (2) &amp; Process (1)'!W186</f>
        <v>9622.7701216276437</v>
      </c>
      <c r="F682" s="6">
        <f>'Input (2) &amp; Process (1)'!X186</f>
        <v>6391.0694306026417</v>
      </c>
      <c r="G682" s="6">
        <f>'Input (2) &amp; Process (1)'!Y186</f>
        <v>10100.366740000001</v>
      </c>
      <c r="H682" s="6">
        <f>'Input (2) &amp; Process (1)'!Z186</f>
        <v>4890.4741030258874</v>
      </c>
      <c r="I682" s="6">
        <f>'Input (2) &amp; Process (1)'!AA186</f>
        <v>11205.068335808346</v>
      </c>
      <c r="J682" s="42"/>
      <c r="K682" s="42"/>
    </row>
    <row r="683" spans="1:11" ht="18.75" customHeight="1" x14ac:dyDescent="0.25">
      <c r="A683" s="328"/>
      <c r="B683" s="196">
        <f t="shared" si="0"/>
        <v>18</v>
      </c>
      <c r="C683" s="6">
        <f>'Input (2) &amp; Process (1)'!U187</f>
        <v>5952.2527702932675</v>
      </c>
      <c r="D683" s="6">
        <f>'Input (2) &amp; Process (1)'!V187</f>
        <v>11440.132583321592</v>
      </c>
      <c r="E683" s="6">
        <f>'Input (2) &amp; Process (1)'!W187</f>
        <v>9817.2055036008478</v>
      </c>
      <c r="F683" s="6">
        <f>'Input (2) &amp; Process (1)'!X187</f>
        <v>6472.796661173008</v>
      </c>
      <c r="G683" s="6">
        <f>'Input (2) &amp; Process (1)'!Y187</f>
        <v>10229.527440000002</v>
      </c>
      <c r="H683" s="6">
        <f>'Input (2) &amp; Process (1)'!Z187</f>
        <v>4953.0121350338923</v>
      </c>
      <c r="I683" s="6">
        <f>'Input (2) &amp; Process (1)'!AA187</f>
        <v>11440.132583321592</v>
      </c>
      <c r="J683" s="42"/>
      <c r="K683" s="42"/>
    </row>
    <row r="684" spans="1:11" ht="18.75" customHeight="1" x14ac:dyDescent="0.25">
      <c r="A684" s="328"/>
      <c r="B684" s="196">
        <f t="shared" si="0"/>
        <v>19</v>
      </c>
      <c r="C684" s="6">
        <f>'Input (2) &amp; Process (1)'!U188</f>
        <v>6053.6117528630029</v>
      </c>
      <c r="D684" s="6">
        <f>'Input (2) &amp; Process (1)'!V188</f>
        <v>11628.079339801612</v>
      </c>
      <c r="E684" s="6">
        <f>'Input (2) &amp; Process (1)'!W188</f>
        <v>9970.3508945408266</v>
      </c>
      <c r="F684" s="6">
        <f>'Input (2) &amp; Process (1)'!X188</f>
        <v>6521.8329995152271</v>
      </c>
      <c r="G684" s="6">
        <f>'Input (2) &amp; Process (1)'!Y188</f>
        <v>10307.023860000001</v>
      </c>
      <c r="H684" s="6">
        <f>'Input (2) &amp; Process (1)'!Z188</f>
        <v>4990.5349542386939</v>
      </c>
      <c r="I684" s="6">
        <f>'Input (2) &amp; Process (1)'!AA188</f>
        <v>11628.079339801612</v>
      </c>
      <c r="J684" s="42"/>
      <c r="K684" s="42"/>
    </row>
    <row r="685" spans="1:11" ht="18.75" customHeight="1" x14ac:dyDescent="0.25">
      <c r="A685" s="328"/>
      <c r="B685" s="196">
        <f t="shared" si="0"/>
        <v>20</v>
      </c>
      <c r="C685" s="6">
        <f>'Input (2) &amp; Process (1)'!U189</f>
        <v>6130.8316062863178</v>
      </c>
      <c r="D685" s="6">
        <f>'Input (2) &amp; Process (1)'!V189</f>
        <v>11768.908605248413</v>
      </c>
      <c r="E685" s="6">
        <f>'Input (2) &amp; Process (1)'!W189</f>
        <v>10082.206294447586</v>
      </c>
      <c r="F685" s="6">
        <f>'Input (2) &amp; Process (1)'!X189</f>
        <v>6538.1784456293026</v>
      </c>
      <c r="G685" s="6">
        <f>'Input (2) &amp; Process (1)'!Y189</f>
        <v>10332.856000000003</v>
      </c>
      <c r="H685" s="6">
        <f>'Input (2) &amp; Process (1)'!Z189</f>
        <v>5003.0425606402969</v>
      </c>
      <c r="I685" s="6">
        <f>'Input (2) &amp; Process (1)'!AA189</f>
        <v>11768.908605248413</v>
      </c>
      <c r="J685" s="42"/>
      <c r="K685" s="42"/>
    </row>
    <row r="686" spans="1:11" ht="18.75" customHeight="1" x14ac:dyDescent="0.25">
      <c r="A686" s="328"/>
      <c r="J686" s="42"/>
      <c r="K686" s="42"/>
    </row>
    <row r="687" spans="1:11" ht="18.75" customHeight="1" x14ac:dyDescent="0.25">
      <c r="A687" s="132" t="s">
        <v>1308</v>
      </c>
      <c r="B687" s="87" t="s">
        <v>862</v>
      </c>
      <c r="J687" s="42"/>
      <c r="K687" s="42"/>
    </row>
    <row r="688" spans="1:11" ht="18.75" customHeight="1" x14ac:dyDescent="0.25">
      <c r="A688" s="132"/>
      <c r="B688" s="670" t="s">
        <v>1256</v>
      </c>
      <c r="C688" s="670"/>
      <c r="D688" s="670"/>
      <c r="E688" s="670"/>
      <c r="F688" s="670"/>
      <c r="G688" s="670"/>
      <c r="H688" s="670"/>
      <c r="I688" s="670"/>
      <c r="J688" s="42"/>
      <c r="K688" s="42"/>
    </row>
    <row r="689" spans="1:11" ht="18.75" customHeight="1" x14ac:dyDescent="0.25">
      <c r="A689" s="132"/>
      <c r="B689" s="670"/>
      <c r="C689" s="670"/>
      <c r="D689" s="670"/>
      <c r="E689" s="670"/>
      <c r="F689" s="670"/>
      <c r="G689" s="670"/>
      <c r="H689" s="670"/>
      <c r="I689" s="670"/>
      <c r="J689" s="42"/>
      <c r="K689" s="42"/>
    </row>
    <row r="690" spans="1:11" ht="18.75" customHeight="1" x14ac:dyDescent="0.25">
      <c r="A690" s="42"/>
      <c r="B690" s="617"/>
      <c r="C690" s="159" t="s">
        <v>847</v>
      </c>
      <c r="D690" s="159" t="s">
        <v>848</v>
      </c>
      <c r="E690" s="159" t="s">
        <v>849</v>
      </c>
      <c r="F690" s="159" t="s">
        <v>850</v>
      </c>
      <c r="G690" s="159" t="s">
        <v>851</v>
      </c>
      <c r="H690" s="159" t="s">
        <v>852</v>
      </c>
      <c r="I690" s="159" t="s">
        <v>853</v>
      </c>
      <c r="J690" s="42"/>
      <c r="K690" s="42"/>
    </row>
    <row r="691" spans="1:11" ht="18.75" customHeight="1" x14ac:dyDescent="0.25">
      <c r="A691" s="42"/>
      <c r="B691" s="618"/>
      <c r="C691" s="194">
        <f>'Input (2) &amp; Process (1)'!N194</f>
        <v>32.085600000000007</v>
      </c>
      <c r="D691" s="194">
        <f>'Input (2) &amp; Process (1)'!O194</f>
        <v>4.9765000000000006</v>
      </c>
      <c r="E691" s="194">
        <f>'Input (2) &amp; Process (1)'!P194</f>
        <v>-30.770538966776549</v>
      </c>
      <c r="F691" s="194">
        <f>'Input (2) &amp; Process (1)'!Q194</f>
        <v>14.568750000000001</v>
      </c>
      <c r="G691" s="194">
        <f>'Input (2) &amp; Process (1)'!R194</f>
        <v>13.562310800826157</v>
      </c>
      <c r="H691" s="194">
        <f>'Input (2) &amp; Process (1)'!S194</f>
        <v>0.75085714285714289</v>
      </c>
      <c r="I691" s="194">
        <f>'Input (2) &amp; Process (1)'!T194</f>
        <v>8.4265365678021755</v>
      </c>
      <c r="J691" s="42"/>
      <c r="K691" s="42"/>
    </row>
    <row r="692" spans="1:11" ht="18.75" customHeight="1" x14ac:dyDescent="0.25">
      <c r="A692" s="42"/>
      <c r="B692" s="196">
        <f>'Input (2) &amp; Process (1)'!M195</f>
        <v>0</v>
      </c>
      <c r="C692" s="6">
        <f>'Input (2) &amp; Process (1)'!N195</f>
        <v>641.7120000000001</v>
      </c>
      <c r="D692" s="6">
        <f>'Input (2) &amp; Process (1)'!O195</f>
        <v>99.530000000000015</v>
      </c>
      <c r="E692" s="6">
        <f>'Input (2) &amp; Process (1)'!P195</f>
        <v>-615.41077933553095</v>
      </c>
      <c r="F692" s="6">
        <f>'Input (2) &amp; Process (1)'!Q195</f>
        <v>291.375</v>
      </c>
      <c r="G692" s="6">
        <f>'Input (2) &amp; Process (1)'!R195</f>
        <v>1.6952888501032697</v>
      </c>
      <c r="H692" s="6">
        <f>'Input (2) &amp; Process (1)'!S195</f>
        <v>15.017142857142858</v>
      </c>
      <c r="I692" s="6">
        <f>'Input (2) &amp; Process (1)'!T195</f>
        <v>168.5307313560435</v>
      </c>
      <c r="J692" s="42"/>
      <c r="K692" s="42"/>
    </row>
    <row r="693" spans="1:11" ht="18.75" customHeight="1" x14ac:dyDescent="0.25">
      <c r="A693" s="42"/>
      <c r="B693" s="196">
        <f>'Input (2) &amp; Process (1)'!M196</f>
        <v>1</v>
      </c>
      <c r="C693" s="6">
        <f>'Input (2) &amp; Process (1)'!N196</f>
        <v>609.6264000000001</v>
      </c>
      <c r="D693" s="6">
        <f>'Input (2) &amp; Process (1)'!O196</f>
        <v>94.553500000000014</v>
      </c>
      <c r="E693" s="6">
        <f>'Input (2) &amp; Process (1)'!P196</f>
        <v>-584.64024036875446</v>
      </c>
      <c r="F693" s="6">
        <f>'Input (2) &amp; Process (1)'!Q196</f>
        <v>276.80625000000003</v>
      </c>
      <c r="G693" s="6">
        <f>'Input (2) &amp; Process (1)'!R196</f>
        <v>1.6952888501032697</v>
      </c>
      <c r="H693" s="6">
        <f>'Input (2) &amp; Process (1)'!S196</f>
        <v>14.266285714285715</v>
      </c>
      <c r="I693" s="6">
        <f>'Input (2) &amp; Process (1)'!T196</f>
        <v>160.10419478824133</v>
      </c>
      <c r="J693" s="42"/>
      <c r="K693" s="42"/>
    </row>
    <row r="694" spans="1:11" ht="18.75" customHeight="1" x14ac:dyDescent="0.25">
      <c r="A694" s="42"/>
      <c r="B694" s="196">
        <f>'Input (2) &amp; Process (1)'!M197</f>
        <v>2</v>
      </c>
      <c r="C694" s="6">
        <f>'Input (2) &amp; Process (1)'!N197</f>
        <v>577.5408000000001</v>
      </c>
      <c r="D694" s="6">
        <f>'Input (2) &amp; Process (1)'!O197</f>
        <v>89.577000000000012</v>
      </c>
      <c r="E694" s="6">
        <f>'Input (2) &amp; Process (1)'!P197</f>
        <v>-553.86970140197786</v>
      </c>
      <c r="F694" s="6">
        <f>'Input (2) &amp; Process (1)'!Q197</f>
        <v>262.23750000000001</v>
      </c>
      <c r="G694" s="6">
        <f>'Input (2) &amp; Process (1)'!R197</f>
        <v>1.6952888501032697</v>
      </c>
      <c r="H694" s="6">
        <f>'Input (2) &amp; Process (1)'!S197</f>
        <v>13.515428571428572</v>
      </c>
      <c r="I694" s="6">
        <f>'Input (2) &amp; Process (1)'!T197</f>
        <v>151.67765822043916</v>
      </c>
      <c r="J694" s="42"/>
      <c r="K694" s="42"/>
    </row>
    <row r="695" spans="1:11" ht="18.75" customHeight="1" x14ac:dyDescent="0.25">
      <c r="A695" s="42"/>
      <c r="B695" s="196">
        <f>'Input (2) &amp; Process (1)'!M198</f>
        <v>3</v>
      </c>
      <c r="C695" s="6">
        <f>'Input (2) &amp; Process (1)'!N198</f>
        <v>545.4552000000001</v>
      </c>
      <c r="D695" s="6">
        <f>'Input (2) &amp; Process (1)'!O198</f>
        <v>84.600500000000011</v>
      </c>
      <c r="E695" s="6">
        <f>'Input (2) &amp; Process (1)'!P198</f>
        <v>-523.09916243520138</v>
      </c>
      <c r="F695" s="6">
        <f>'Input (2) &amp; Process (1)'!Q198</f>
        <v>247.66875000000002</v>
      </c>
      <c r="G695" s="6">
        <f>'Input (2) &amp; Process (1)'!R198</f>
        <v>1.6952888501032697</v>
      </c>
      <c r="H695" s="6">
        <f>'Input (2) &amp; Process (1)'!S198</f>
        <v>12.764571428571429</v>
      </c>
      <c r="I695" s="6">
        <f>'Input (2) &amp; Process (1)'!T198</f>
        <v>143.25112165263698</v>
      </c>
      <c r="J695" s="42"/>
      <c r="K695" s="42"/>
    </row>
    <row r="696" spans="1:11" ht="18.75" customHeight="1" x14ac:dyDescent="0.25">
      <c r="A696" s="42"/>
      <c r="B696" s="196">
        <f>'Input (2) &amp; Process (1)'!M199</f>
        <v>4</v>
      </c>
      <c r="C696" s="6">
        <f>'Input (2) &amp; Process (1)'!N199</f>
        <v>513.3696000000001</v>
      </c>
      <c r="D696" s="6">
        <f>'Input (2) &amp; Process (1)'!O199</f>
        <v>79.624000000000009</v>
      </c>
      <c r="E696" s="6">
        <f>'Input (2) &amp; Process (1)'!P199</f>
        <v>-492.32862346842478</v>
      </c>
      <c r="F696" s="6">
        <f>'Input (2) &amp; Process (1)'!Q199</f>
        <v>233.10000000000002</v>
      </c>
      <c r="G696" s="6">
        <f>'Input (2) &amp; Process (1)'!R199</f>
        <v>1.6952888501032697</v>
      </c>
      <c r="H696" s="6">
        <f>'Input (2) &amp; Process (1)'!S199</f>
        <v>12.013714285714286</v>
      </c>
      <c r="I696" s="6">
        <f>'Input (2) &amp; Process (1)'!T199</f>
        <v>134.82458508483481</v>
      </c>
      <c r="J696" s="42"/>
      <c r="K696" s="42"/>
    </row>
    <row r="697" spans="1:11" ht="18.75" customHeight="1" x14ac:dyDescent="0.25">
      <c r="A697" s="42"/>
      <c r="B697" s="196">
        <f>'Input (2) &amp; Process (1)'!M200</f>
        <v>5</v>
      </c>
      <c r="C697" s="6">
        <f>'Input (2) &amp; Process (1)'!N200</f>
        <v>481.28400000000011</v>
      </c>
      <c r="D697" s="6">
        <f>'Input (2) &amp; Process (1)'!O200</f>
        <v>74.647500000000008</v>
      </c>
      <c r="E697" s="6">
        <f>'Input (2) &amp; Process (1)'!P200</f>
        <v>-461.55808450164824</v>
      </c>
      <c r="F697" s="6">
        <f>'Input (2) &amp; Process (1)'!Q200</f>
        <v>218.53125000000003</v>
      </c>
      <c r="G697" s="6">
        <f>'Input (2) &amp; Process (1)'!R200</f>
        <v>1.6952888501032697</v>
      </c>
      <c r="H697" s="6">
        <f>'Input (2) &amp; Process (1)'!S200</f>
        <v>11.262857142857143</v>
      </c>
      <c r="I697" s="6">
        <f>'Input (2) &amp; Process (1)'!T200</f>
        <v>126.39804851703263</v>
      </c>
      <c r="J697" s="42"/>
      <c r="K697" s="42"/>
    </row>
    <row r="698" spans="1:11" ht="18.75" customHeight="1" x14ac:dyDescent="0.25">
      <c r="A698" s="42"/>
      <c r="B698" s="196">
        <f>'Input (2) &amp; Process (1)'!M201</f>
        <v>6</v>
      </c>
      <c r="C698" s="6">
        <f>'Input (2) &amp; Process (1)'!N201</f>
        <v>449.19840000000011</v>
      </c>
      <c r="D698" s="6">
        <f>'Input (2) &amp; Process (1)'!O201</f>
        <v>69.671000000000006</v>
      </c>
      <c r="E698" s="6">
        <f>'Input (2) &amp; Process (1)'!P201</f>
        <v>-430.7875455348717</v>
      </c>
      <c r="F698" s="6">
        <f>'Input (2) &amp; Process (1)'!Q201</f>
        <v>203.96250000000003</v>
      </c>
      <c r="G698" s="6">
        <f>'Input (2) &amp; Process (1)'!R201</f>
        <v>1.6952888501032697</v>
      </c>
      <c r="H698" s="6">
        <f>'Input (2) &amp; Process (1)'!S201</f>
        <v>10.512</v>
      </c>
      <c r="I698" s="6">
        <f>'Input (2) &amp; Process (1)'!T201</f>
        <v>117.97151194923046</v>
      </c>
      <c r="J698" s="42"/>
      <c r="K698" s="42"/>
    </row>
    <row r="699" spans="1:11" ht="18.75" customHeight="1" x14ac:dyDescent="0.25">
      <c r="A699" s="42"/>
      <c r="B699" s="196">
        <f>'Input (2) &amp; Process (1)'!M202</f>
        <v>7</v>
      </c>
      <c r="C699" s="6">
        <f>'Input (2) &amp; Process (1)'!N202</f>
        <v>417.11280000000011</v>
      </c>
      <c r="D699" s="6">
        <f>'Input (2) &amp; Process (1)'!O202</f>
        <v>64.694500000000005</v>
      </c>
      <c r="E699" s="6">
        <f>'Input (2) &amp; Process (1)'!P202</f>
        <v>-400.01700656809516</v>
      </c>
      <c r="F699" s="6">
        <f>'Input (2) &amp; Process (1)'!Q202</f>
        <v>189.39375000000001</v>
      </c>
      <c r="G699" s="6">
        <f>'Input (2) &amp; Process (1)'!R202</f>
        <v>1.6952888501032697</v>
      </c>
      <c r="H699" s="6">
        <f>'Input (2) &amp; Process (1)'!S202</f>
        <v>9.7611428571428576</v>
      </c>
      <c r="I699" s="6">
        <f>'Input (2) &amp; Process (1)'!T202</f>
        <v>109.54497538142829</v>
      </c>
      <c r="J699" s="42"/>
      <c r="K699" s="42"/>
    </row>
    <row r="700" spans="1:11" ht="18.75" customHeight="1" x14ac:dyDescent="0.25">
      <c r="A700" s="42"/>
      <c r="B700" s="196">
        <f>'Input (2) &amp; Process (1)'!M203</f>
        <v>8</v>
      </c>
      <c r="C700" s="6">
        <f>'Input (2) &amp; Process (1)'!N203</f>
        <v>385.02720000000011</v>
      </c>
      <c r="D700" s="6">
        <f>'Input (2) &amp; Process (1)'!O203</f>
        <v>59.718000000000004</v>
      </c>
      <c r="E700" s="6">
        <f>'Input (2) &amp; Process (1)'!P203</f>
        <v>-369.24646760131861</v>
      </c>
      <c r="F700" s="6">
        <f>'Input (2) &amp; Process (1)'!Q203</f>
        <v>174.82500000000002</v>
      </c>
      <c r="G700" s="6">
        <f>'Input (2) &amp; Process (1)'!R203</f>
        <v>1.6952888501032697</v>
      </c>
      <c r="H700" s="6">
        <f>'Input (2) &amp; Process (1)'!S203</f>
        <v>9.0102857142857147</v>
      </c>
      <c r="I700" s="6">
        <f>'Input (2) &amp; Process (1)'!T203</f>
        <v>101.11843881362611</v>
      </c>
      <c r="J700" s="42"/>
      <c r="K700" s="42"/>
    </row>
    <row r="701" spans="1:11" ht="18.75" customHeight="1" x14ac:dyDescent="0.25">
      <c r="A701" s="42"/>
      <c r="B701" s="196">
        <f>'Input (2) &amp; Process (1)'!M204</f>
        <v>9</v>
      </c>
      <c r="C701" s="6">
        <f>'Input (2) &amp; Process (1)'!N204</f>
        <v>352.94160000000005</v>
      </c>
      <c r="D701" s="6">
        <f>'Input (2) &amp; Process (1)'!O204</f>
        <v>54.741500000000009</v>
      </c>
      <c r="E701" s="6">
        <f>'Input (2) &amp; Process (1)'!P204</f>
        <v>-338.47592863454202</v>
      </c>
      <c r="F701" s="6">
        <f>'Input (2) &amp; Process (1)'!Q204</f>
        <v>160.25625000000002</v>
      </c>
      <c r="G701" s="6">
        <f>'Input (2) &amp; Process (1)'!R204</f>
        <v>1.6952888501032697</v>
      </c>
      <c r="H701" s="6">
        <f>'Input (2) &amp; Process (1)'!S204</f>
        <v>8.2594285714285718</v>
      </c>
      <c r="I701" s="6">
        <f>'Input (2) &amp; Process (1)'!T204</f>
        <v>92.691902245823925</v>
      </c>
      <c r="J701" s="42"/>
      <c r="K701" s="42"/>
    </row>
    <row r="702" spans="1:11" ht="18.75" customHeight="1" x14ac:dyDescent="0.25">
      <c r="A702" s="42"/>
      <c r="B702" s="196">
        <f>'Input (2) &amp; Process (1)'!M205</f>
        <v>10</v>
      </c>
      <c r="C702" s="6">
        <f>'Input (2) &amp; Process (1)'!N205</f>
        <v>320.85600000000005</v>
      </c>
      <c r="D702" s="6">
        <f>'Input (2) &amp; Process (1)'!O205</f>
        <v>49.765000000000008</v>
      </c>
      <c r="E702" s="6">
        <f>'Input (2) &amp; Process (1)'!P205</f>
        <v>-307.70538966776547</v>
      </c>
      <c r="F702" s="6">
        <f>'Input (2) &amp; Process (1)'!Q205</f>
        <v>145.6875</v>
      </c>
      <c r="G702" s="6">
        <f>'Input (2) &amp; Process (1)'!R205</f>
        <v>1.6952888501032697</v>
      </c>
      <c r="H702" s="6">
        <f>'Input (2) &amp; Process (1)'!S205</f>
        <v>7.5085714285714289</v>
      </c>
      <c r="I702" s="6">
        <f>'Input (2) &amp; Process (1)'!T205</f>
        <v>84.265365678021752</v>
      </c>
      <c r="J702" s="42"/>
      <c r="K702" s="42"/>
    </row>
    <row r="703" spans="1:11" ht="18.75" customHeight="1" x14ac:dyDescent="0.25">
      <c r="A703" s="42"/>
      <c r="B703" s="196">
        <f>'Input (2) &amp; Process (1)'!M206</f>
        <v>11</v>
      </c>
      <c r="C703" s="6">
        <f>'Input (2) &amp; Process (1)'!N206</f>
        <v>288.77040000000005</v>
      </c>
      <c r="D703" s="6">
        <f>'Input (2) &amp; Process (1)'!O206</f>
        <v>44.788500000000006</v>
      </c>
      <c r="E703" s="6">
        <f>'Input (2) &amp; Process (1)'!P206</f>
        <v>-276.93485070098893</v>
      </c>
      <c r="F703" s="6">
        <f>'Input (2) &amp; Process (1)'!Q206</f>
        <v>131.11875000000001</v>
      </c>
      <c r="G703" s="6">
        <f>'Input (2) &amp; Process (1)'!R206</f>
        <v>1.6952888501032697</v>
      </c>
      <c r="H703" s="6">
        <f>'Input (2) &amp; Process (1)'!S206</f>
        <v>6.757714285714286</v>
      </c>
      <c r="I703" s="6">
        <f>'Input (2) &amp; Process (1)'!T206</f>
        <v>75.838829110219578</v>
      </c>
      <c r="J703" s="42"/>
      <c r="K703" s="42"/>
    </row>
    <row r="704" spans="1:11" ht="18.75" customHeight="1" x14ac:dyDescent="0.25">
      <c r="A704" s="42"/>
      <c r="B704" s="196">
        <f>'Input (2) &amp; Process (1)'!M207</f>
        <v>12</v>
      </c>
      <c r="C704" s="6">
        <f>'Input (2) &amp; Process (1)'!N207</f>
        <v>256.68480000000005</v>
      </c>
      <c r="D704" s="6">
        <f>'Input (2) &amp; Process (1)'!O207</f>
        <v>39.812000000000005</v>
      </c>
      <c r="E704" s="6">
        <f>'Input (2) &amp; Process (1)'!P207</f>
        <v>-246.16431173421239</v>
      </c>
      <c r="F704" s="6">
        <f>'Input (2) &amp; Process (1)'!Q207</f>
        <v>116.55000000000001</v>
      </c>
      <c r="G704" s="6">
        <f>'Input (2) &amp; Process (1)'!R207</f>
        <v>1.6952888501032697</v>
      </c>
      <c r="H704" s="6">
        <f>'Input (2) &amp; Process (1)'!S207</f>
        <v>6.0068571428571431</v>
      </c>
      <c r="I704" s="6">
        <f>'Input (2) &amp; Process (1)'!T207</f>
        <v>67.412292542417404</v>
      </c>
      <c r="J704" s="42"/>
      <c r="K704" s="42"/>
    </row>
    <row r="705" spans="1:11" ht="18.75" customHeight="1" x14ac:dyDescent="0.25">
      <c r="A705" s="42"/>
      <c r="B705" s="196">
        <f>'Input (2) &amp; Process (1)'!M208</f>
        <v>13</v>
      </c>
      <c r="C705" s="6">
        <f>'Input (2) &amp; Process (1)'!N208</f>
        <v>224.59920000000005</v>
      </c>
      <c r="D705" s="6">
        <f>'Input (2) &amp; Process (1)'!O208</f>
        <v>34.835500000000003</v>
      </c>
      <c r="E705" s="6">
        <f>'Input (2) &amp; Process (1)'!P208</f>
        <v>-215.39377276743585</v>
      </c>
      <c r="F705" s="6">
        <f>'Input (2) &amp; Process (1)'!Q208</f>
        <v>101.98125000000002</v>
      </c>
      <c r="G705" s="6">
        <f>'Input (2) &amp; Process (1)'!R208</f>
        <v>1.6952888501032697</v>
      </c>
      <c r="H705" s="6">
        <f>'Input (2) &amp; Process (1)'!S208</f>
        <v>5.2560000000000002</v>
      </c>
      <c r="I705" s="6">
        <f>'Input (2) &amp; Process (1)'!T208</f>
        <v>58.98575597461523</v>
      </c>
      <c r="J705" s="42"/>
      <c r="K705" s="42"/>
    </row>
    <row r="706" spans="1:11" ht="18.75" customHeight="1" x14ac:dyDescent="0.25">
      <c r="A706" s="42"/>
      <c r="B706" s="196">
        <f>'Input (2) &amp; Process (1)'!M209</f>
        <v>14</v>
      </c>
      <c r="C706" s="6">
        <f>'Input (2) &amp; Process (1)'!N209</f>
        <v>192.51360000000005</v>
      </c>
      <c r="D706" s="6">
        <f>'Input (2) &amp; Process (1)'!O209</f>
        <v>29.859000000000002</v>
      </c>
      <c r="E706" s="6">
        <f>'Input (2) &amp; Process (1)'!P209</f>
        <v>-184.62323380065931</v>
      </c>
      <c r="F706" s="6">
        <f>'Input (2) &amp; Process (1)'!Q209</f>
        <v>87.412500000000009</v>
      </c>
      <c r="G706" s="6">
        <f>'Input (2) &amp; Process (1)'!R209</f>
        <v>1.6952888501032697</v>
      </c>
      <c r="H706" s="6">
        <f>'Input (2) &amp; Process (1)'!S209</f>
        <v>4.5051428571428573</v>
      </c>
      <c r="I706" s="6">
        <f>'Input (2) &amp; Process (1)'!T209</f>
        <v>50.559219406813057</v>
      </c>
      <c r="J706" s="42"/>
      <c r="K706" s="42"/>
    </row>
    <row r="707" spans="1:11" ht="18.75" customHeight="1" x14ac:dyDescent="0.25">
      <c r="A707" s="42"/>
      <c r="B707" s="196">
        <f>'Input (2) &amp; Process (1)'!M210</f>
        <v>15</v>
      </c>
      <c r="C707" s="6">
        <f>'Input (2) &amp; Process (1)'!N210</f>
        <v>160.42800000000003</v>
      </c>
      <c r="D707" s="6">
        <f>'Input (2) &amp; Process (1)'!O210</f>
        <v>24.882500000000004</v>
      </c>
      <c r="E707" s="6">
        <f>'Input (2) &amp; Process (1)'!P210</f>
        <v>-153.85269483388274</v>
      </c>
      <c r="F707" s="6">
        <f>'Input (2) &amp; Process (1)'!Q210</f>
        <v>72.84375</v>
      </c>
      <c r="G707" s="6">
        <f>'Input (2) &amp; Process (1)'!R210</f>
        <v>1.6952888501032697</v>
      </c>
      <c r="H707" s="6">
        <f>'Input (2) &amp; Process (1)'!S210</f>
        <v>3.7542857142857144</v>
      </c>
      <c r="I707" s="6">
        <f>'Input (2) &amp; Process (1)'!T210</f>
        <v>42.132682839010876</v>
      </c>
      <c r="J707" s="42"/>
      <c r="K707" s="42"/>
    </row>
    <row r="708" spans="1:11" ht="18.75" customHeight="1" x14ac:dyDescent="0.25">
      <c r="A708" s="42"/>
      <c r="B708" s="196">
        <f>'Input (2) &amp; Process (1)'!M211</f>
        <v>16</v>
      </c>
      <c r="C708" s="6">
        <f>'Input (2) &amp; Process (1)'!N211</f>
        <v>128.34240000000003</v>
      </c>
      <c r="D708" s="6">
        <f>'Input (2) &amp; Process (1)'!O211</f>
        <v>19.906000000000002</v>
      </c>
      <c r="E708" s="6">
        <f>'Input (2) &amp; Process (1)'!P211</f>
        <v>-123.0821558671062</v>
      </c>
      <c r="F708" s="6">
        <f>'Input (2) &amp; Process (1)'!Q211</f>
        <v>58.275000000000006</v>
      </c>
      <c r="G708" s="6">
        <f>'Input (2) &amp; Process (1)'!R211</f>
        <v>1.6952888501032697</v>
      </c>
      <c r="H708" s="6">
        <f>'Input (2) &amp; Process (1)'!S211</f>
        <v>3.0034285714285716</v>
      </c>
      <c r="I708" s="6">
        <f>'Input (2) &amp; Process (1)'!T211</f>
        <v>33.706146271208702</v>
      </c>
      <c r="J708" s="42"/>
      <c r="K708" s="42"/>
    </row>
    <row r="709" spans="1:11" ht="18.75" customHeight="1" x14ac:dyDescent="0.25">
      <c r="A709" s="42"/>
      <c r="B709" s="196">
        <f>'Input (2) &amp; Process (1)'!M212</f>
        <v>17</v>
      </c>
      <c r="C709" s="6">
        <f>'Input (2) &amp; Process (1)'!N212</f>
        <v>96.256800000000027</v>
      </c>
      <c r="D709" s="6">
        <f>'Input (2) &amp; Process (1)'!O212</f>
        <v>14.929500000000001</v>
      </c>
      <c r="E709" s="6">
        <f>'Input (2) &amp; Process (1)'!P212</f>
        <v>-92.311616900329653</v>
      </c>
      <c r="F709" s="6">
        <f>'Input (2) &amp; Process (1)'!Q212</f>
        <v>43.706250000000004</v>
      </c>
      <c r="G709" s="6">
        <f>'Input (2) &amp; Process (1)'!R212</f>
        <v>1.6952888501032697</v>
      </c>
      <c r="H709" s="6">
        <f>'Input (2) &amp; Process (1)'!S212</f>
        <v>2.2525714285714287</v>
      </c>
      <c r="I709" s="6">
        <f>'Input (2) &amp; Process (1)'!T212</f>
        <v>25.279609703406528</v>
      </c>
      <c r="J709" s="42"/>
      <c r="K709" s="42"/>
    </row>
    <row r="710" spans="1:11" ht="18.75" customHeight="1" x14ac:dyDescent="0.25">
      <c r="A710" s="42"/>
      <c r="B710" s="196">
        <f>'Input (2) &amp; Process (1)'!M213</f>
        <v>18</v>
      </c>
      <c r="C710" s="6">
        <f>'Input (2) &amp; Process (1)'!N213</f>
        <v>64.171200000000013</v>
      </c>
      <c r="D710" s="6">
        <f>'Input (2) &amp; Process (1)'!O213</f>
        <v>9.9530000000000012</v>
      </c>
      <c r="E710" s="6">
        <f>'Input (2) &amp; Process (1)'!P213</f>
        <v>-61.541077933553098</v>
      </c>
      <c r="F710" s="6">
        <f>'Input (2) &amp; Process (1)'!Q213</f>
        <v>29.137500000000003</v>
      </c>
      <c r="G710" s="6">
        <f>'Input (2) &amp; Process (1)'!R213</f>
        <v>1.6952888501032697</v>
      </c>
      <c r="H710" s="6">
        <f>'Input (2) &amp; Process (1)'!S213</f>
        <v>1.5017142857142858</v>
      </c>
      <c r="I710" s="6">
        <f>'Input (2) &amp; Process (1)'!T213</f>
        <v>16.853073135604351</v>
      </c>
      <c r="J710" s="42"/>
      <c r="K710" s="42"/>
    </row>
    <row r="711" spans="1:11" ht="18.75" customHeight="1" x14ac:dyDescent="0.25">
      <c r="A711" s="42"/>
      <c r="B711" s="196">
        <f>'Input (2) &amp; Process (1)'!M214</f>
        <v>19</v>
      </c>
      <c r="C711" s="6">
        <f>'Input (2) &amp; Process (1)'!N214</f>
        <v>32.085600000000007</v>
      </c>
      <c r="D711" s="6">
        <f>'Input (2) &amp; Process (1)'!O214</f>
        <v>4.9765000000000006</v>
      </c>
      <c r="E711" s="6">
        <f>'Input (2) &amp; Process (1)'!P214</f>
        <v>-30.770538966776549</v>
      </c>
      <c r="F711" s="6">
        <f>'Input (2) &amp; Process (1)'!Q214</f>
        <v>14.568750000000001</v>
      </c>
      <c r="G711" s="6">
        <f>'Input (2) &amp; Process (1)'!R214</f>
        <v>1.6952888501032697</v>
      </c>
      <c r="H711" s="6">
        <f>'Input (2) &amp; Process (1)'!S214</f>
        <v>0.75085714285714289</v>
      </c>
      <c r="I711" s="6">
        <f>'Input (2) &amp; Process (1)'!T214</f>
        <v>8.4265365678021755</v>
      </c>
      <c r="J711" s="42"/>
      <c r="K711" s="42"/>
    </row>
    <row r="712" spans="1:11" ht="18.75" customHeight="1" x14ac:dyDescent="0.25">
      <c r="A712" s="42"/>
      <c r="B712" s="196">
        <f>'Input (2) &amp; Process (1)'!M215</f>
        <v>20</v>
      </c>
      <c r="C712" s="6">
        <f>'Input (2) &amp; Process (1)'!N215</f>
        <v>0</v>
      </c>
      <c r="D712" s="6">
        <f>'Input (2) &amp; Process (1)'!O215</f>
        <v>0</v>
      </c>
      <c r="E712" s="6">
        <f>'Input (2) &amp; Process (1)'!P215</f>
        <v>0</v>
      </c>
      <c r="F712" s="6">
        <f>'Input (2) &amp; Process (1)'!Q215</f>
        <v>0</v>
      </c>
      <c r="G712" s="6">
        <f>'Input (2) &amp; Process (1)'!R215</f>
        <v>1.6952888501032697</v>
      </c>
      <c r="H712" s="6">
        <f>'Input (2) &amp; Process (1)'!S215</f>
        <v>0</v>
      </c>
      <c r="I712" s="6">
        <f>'Input (2) &amp; Process (1)'!T215</f>
        <v>0</v>
      </c>
      <c r="J712" s="42"/>
      <c r="K712" s="42"/>
    </row>
    <row r="713" spans="1:11" ht="18.75" customHeight="1" x14ac:dyDescent="0.25">
      <c r="A713" s="328"/>
      <c r="J713" s="42"/>
      <c r="K713" s="42"/>
    </row>
    <row r="714" spans="1:11" ht="18.75" customHeight="1" x14ac:dyDescent="0.25">
      <c r="A714" s="328"/>
      <c r="B714" s="617"/>
      <c r="C714" s="159" t="s">
        <v>854</v>
      </c>
      <c r="D714" s="159" t="s">
        <v>855</v>
      </c>
      <c r="E714" s="159" t="s">
        <v>856</v>
      </c>
      <c r="F714" s="159" t="s">
        <v>857</v>
      </c>
      <c r="G714" s="159" t="s">
        <v>858</v>
      </c>
      <c r="H714" s="159" t="s">
        <v>859</v>
      </c>
      <c r="I714" s="159" t="s">
        <v>860</v>
      </c>
      <c r="J714" s="42"/>
      <c r="K714" s="42"/>
    </row>
    <row r="715" spans="1:11" ht="18.75" customHeight="1" x14ac:dyDescent="0.25">
      <c r="A715" s="328"/>
      <c r="B715" s="618"/>
      <c r="C715" s="193" t="str">
        <f>'Input (2) &amp; Process (1)'!U194</f>
        <v>kN</v>
      </c>
      <c r="D715" s="193" t="str">
        <f>'Input (2) &amp; Process (1)'!V194</f>
        <v>kN</v>
      </c>
      <c r="E715" s="193" t="str">
        <f>'Input (2) &amp; Process (1)'!W194</f>
        <v>kN</v>
      </c>
      <c r="F715" s="193" t="str">
        <f>'Input (2) &amp; Process (1)'!X194</f>
        <v>kN</v>
      </c>
      <c r="G715" s="193" t="str">
        <f>'Input (2) &amp; Process (1)'!Y194</f>
        <v>kN</v>
      </c>
      <c r="H715" s="193" t="str">
        <f>'Input (2) &amp; Process (1)'!Z194</f>
        <v>kN</v>
      </c>
      <c r="I715" s="193" t="str">
        <f>'Input (2) &amp; Process (1)'!AA194</f>
        <v>kN</v>
      </c>
      <c r="J715" s="42"/>
      <c r="K715" s="42"/>
    </row>
    <row r="716" spans="1:11" ht="18.75" customHeight="1" x14ac:dyDescent="0.25">
      <c r="A716" s="328"/>
      <c r="B716" s="196">
        <f>B692</f>
        <v>0</v>
      </c>
      <c r="C716" s="6">
        <f>'Input (2) &amp; Process (1)'!U195</f>
        <v>484.47787177852831</v>
      </c>
      <c r="D716" s="6">
        <f>'Input (2) &amp; Process (1)'!V195</f>
        <v>945.40134059465515</v>
      </c>
      <c r="E716" s="6">
        <f>'Input (2) &amp; Process (1)'!W195</f>
        <v>828.17322505461379</v>
      </c>
      <c r="F716" s="6">
        <f>'Input (2) &amp; Process (1)'!X195</f>
        <v>653.81784456293008</v>
      </c>
      <c r="G716" s="6">
        <f>'Input (2) &amp; Process (1)'!Y195</f>
        <v>1033.2856000000002</v>
      </c>
      <c r="H716" s="6">
        <f>'Input (2) &amp; Process (1)'!Z195</f>
        <v>879.83165606402963</v>
      </c>
      <c r="I716" s="6">
        <f>'Input (2) &amp; Process (1)'!AA195</f>
        <v>1033.2856000000002</v>
      </c>
      <c r="J716" s="42"/>
      <c r="K716" s="42"/>
    </row>
    <row r="717" spans="1:11" ht="18.75" customHeight="1" x14ac:dyDescent="0.25">
      <c r="A717" s="328"/>
      <c r="B717" s="196">
        <f t="shared" ref="B717:B736" si="1">B693</f>
        <v>1</v>
      </c>
      <c r="C717" s="6">
        <f>'Input (2) &amp; Process (1)'!U196</f>
        <v>460.33874263210703</v>
      </c>
      <c r="D717" s="6">
        <f>'Input (2) &amp; Process (1)'!V196</f>
        <v>898.28384956143168</v>
      </c>
      <c r="E717" s="6">
        <f>'Input (2) &amp; Process (1)'!W196</f>
        <v>786.88323402139031</v>
      </c>
      <c r="F717" s="6">
        <f>'Input (2) &amp; Process (1)'!X196</f>
        <v>621.1269523347836</v>
      </c>
      <c r="G717" s="6">
        <f>'Input (2) &amp; Process (1)'!Y196</f>
        <v>981.6213200000002</v>
      </c>
      <c r="H717" s="6">
        <f>'Input (2) &amp; Process (1)'!Z196</f>
        <v>835.84007326082804</v>
      </c>
      <c r="I717" s="6">
        <f>'Input (2) &amp; Process (1)'!AA196</f>
        <v>981.6213200000002</v>
      </c>
      <c r="J717" s="42"/>
      <c r="K717" s="42"/>
    </row>
    <row r="718" spans="1:11" ht="18.75" customHeight="1" x14ac:dyDescent="0.25">
      <c r="A718" s="328"/>
      <c r="B718" s="196">
        <f t="shared" si="1"/>
        <v>2</v>
      </c>
      <c r="C718" s="6">
        <f>'Input (2) &amp; Process (1)'!U197</f>
        <v>436.19961348568586</v>
      </c>
      <c r="D718" s="6">
        <f>'Input (2) &amp; Process (1)'!V197</f>
        <v>851.16635852820821</v>
      </c>
      <c r="E718" s="6">
        <f>'Input (2) &amp; Process (1)'!W197</f>
        <v>745.59324298816682</v>
      </c>
      <c r="F718" s="6">
        <f>'Input (2) &amp; Process (1)'!X197</f>
        <v>588.43606010663711</v>
      </c>
      <c r="G718" s="6">
        <f>'Input (2) &amp; Process (1)'!Y197</f>
        <v>929.95704000000012</v>
      </c>
      <c r="H718" s="6">
        <f>'Input (2) &amp; Process (1)'!Z197</f>
        <v>791.84849045762667</v>
      </c>
      <c r="I718" s="6">
        <f>'Input (2) &amp; Process (1)'!AA197</f>
        <v>929.95704000000012</v>
      </c>
      <c r="J718" s="42"/>
      <c r="K718" s="42"/>
    </row>
    <row r="719" spans="1:11" ht="18.75" customHeight="1" x14ac:dyDescent="0.25">
      <c r="A719" s="328"/>
      <c r="B719" s="196">
        <f t="shared" si="1"/>
        <v>3</v>
      </c>
      <c r="C719" s="6">
        <f>'Input (2) &amp; Process (1)'!U198</f>
        <v>412.06048433926458</v>
      </c>
      <c r="D719" s="6">
        <f>'Input (2) &amp; Process (1)'!V198</f>
        <v>804.04886749498473</v>
      </c>
      <c r="E719" s="6">
        <f>'Input (2) &amp; Process (1)'!W198</f>
        <v>704.30325195494333</v>
      </c>
      <c r="F719" s="6">
        <f>'Input (2) &amp; Process (1)'!X198</f>
        <v>555.74516787849052</v>
      </c>
      <c r="G719" s="6">
        <f>'Input (2) &amp; Process (1)'!Y198</f>
        <v>878.29276000000016</v>
      </c>
      <c r="H719" s="6">
        <f>'Input (2) &amp; Process (1)'!Z198</f>
        <v>747.85690765442507</v>
      </c>
      <c r="I719" s="6">
        <f>'Input (2) &amp; Process (1)'!AA198</f>
        <v>878.29276000000016</v>
      </c>
      <c r="J719" s="42"/>
      <c r="K719" s="42"/>
    </row>
    <row r="720" spans="1:11" ht="18.75" customHeight="1" x14ac:dyDescent="0.25">
      <c r="A720" s="328"/>
      <c r="B720" s="196">
        <f t="shared" si="1"/>
        <v>4</v>
      </c>
      <c r="C720" s="6">
        <f>'Input (2) &amp; Process (1)'!U199</f>
        <v>387.92135519284341</v>
      </c>
      <c r="D720" s="6">
        <f>'Input (2) &amp; Process (1)'!V199</f>
        <v>756.93137646176137</v>
      </c>
      <c r="E720" s="6">
        <f>'Input (2) &amp; Process (1)'!W199</f>
        <v>663.01326092172008</v>
      </c>
      <c r="F720" s="6">
        <f>'Input (2) &amp; Process (1)'!X199</f>
        <v>523.05427565034415</v>
      </c>
      <c r="G720" s="6">
        <f>'Input (2) &amp; Process (1)'!Y199</f>
        <v>826.6284800000002</v>
      </c>
      <c r="H720" s="6">
        <f>'Input (2) &amp; Process (1)'!Z199</f>
        <v>703.86532485122359</v>
      </c>
      <c r="I720" s="6">
        <f>'Input (2) &amp; Process (1)'!AA199</f>
        <v>826.6284800000002</v>
      </c>
      <c r="J720" s="42"/>
      <c r="K720" s="42"/>
    </row>
    <row r="721" spans="1:11" ht="18.75" customHeight="1" x14ac:dyDescent="0.25">
      <c r="A721" s="328"/>
      <c r="B721" s="196">
        <f t="shared" si="1"/>
        <v>5</v>
      </c>
      <c r="C721" s="6">
        <f>'Input (2) &amp; Process (1)'!U200</f>
        <v>363.78222604642218</v>
      </c>
      <c r="D721" s="6">
        <f>'Input (2) &amp; Process (1)'!V200</f>
        <v>709.81388542853779</v>
      </c>
      <c r="E721" s="6">
        <f>'Input (2) &amp; Process (1)'!W200</f>
        <v>621.72326988849647</v>
      </c>
      <c r="F721" s="6">
        <f>'Input (2) &amp; Process (1)'!X200</f>
        <v>490.36338342219756</v>
      </c>
      <c r="G721" s="6">
        <f>'Input (2) &amp; Process (1)'!Y200</f>
        <v>774.96420000000012</v>
      </c>
      <c r="H721" s="6">
        <f>'Input (2) &amp; Process (1)'!Z200</f>
        <v>659.87374204802234</v>
      </c>
      <c r="I721" s="6">
        <f>'Input (2) &amp; Process (1)'!AA200</f>
        <v>774.96420000000012</v>
      </c>
      <c r="J721" s="42"/>
      <c r="K721" s="42"/>
    </row>
    <row r="722" spans="1:11" ht="18.75" customHeight="1" x14ac:dyDescent="0.25">
      <c r="A722" s="328"/>
      <c r="B722" s="196">
        <f t="shared" si="1"/>
        <v>6</v>
      </c>
      <c r="C722" s="6">
        <f>'Input (2) &amp; Process (1)'!U201</f>
        <v>339.6430969000009</v>
      </c>
      <c r="D722" s="6">
        <f>'Input (2) &amp; Process (1)'!V201</f>
        <v>662.69639439531443</v>
      </c>
      <c r="E722" s="6">
        <f>'Input (2) &amp; Process (1)'!W201</f>
        <v>580.4332788552731</v>
      </c>
      <c r="F722" s="6">
        <f>'Input (2) &amp; Process (1)'!X201</f>
        <v>457.67249119405108</v>
      </c>
      <c r="G722" s="6">
        <f>'Input (2) &amp; Process (1)'!Y201</f>
        <v>723.29992000000016</v>
      </c>
      <c r="H722" s="6">
        <f>'Input (2) &amp; Process (1)'!Z201</f>
        <v>615.88215924482074</v>
      </c>
      <c r="I722" s="6">
        <f>'Input (2) &amp; Process (1)'!AA201</f>
        <v>723.29992000000016</v>
      </c>
      <c r="J722" s="42"/>
      <c r="K722" s="42"/>
    </row>
    <row r="723" spans="1:11" ht="18.75" customHeight="1" x14ac:dyDescent="0.25">
      <c r="A723" s="328"/>
      <c r="B723" s="196">
        <f t="shared" si="1"/>
        <v>7</v>
      </c>
      <c r="C723" s="6">
        <f>'Input (2) &amp; Process (1)'!U202</f>
        <v>315.50396775357962</v>
      </c>
      <c r="D723" s="6">
        <f>'Input (2) &amp; Process (1)'!V202</f>
        <v>615.57890336209095</v>
      </c>
      <c r="E723" s="6">
        <f>'Input (2) &amp; Process (1)'!W202</f>
        <v>539.14328782204961</v>
      </c>
      <c r="F723" s="6">
        <f>'Input (2) &amp; Process (1)'!X202</f>
        <v>424.9815989659046</v>
      </c>
      <c r="G723" s="6">
        <f>'Input (2) &amp; Process (1)'!Y202</f>
        <v>671.63564000000019</v>
      </c>
      <c r="H723" s="6">
        <f>'Input (2) &amp; Process (1)'!Z202</f>
        <v>571.89057644161915</v>
      </c>
      <c r="I723" s="6">
        <f>'Input (2) &amp; Process (1)'!AA202</f>
        <v>671.63564000000019</v>
      </c>
      <c r="J723" s="42"/>
      <c r="K723" s="42"/>
    </row>
    <row r="724" spans="1:11" ht="18.75" customHeight="1" x14ac:dyDescent="0.25">
      <c r="A724" s="328"/>
      <c r="B724" s="196">
        <f t="shared" si="1"/>
        <v>8</v>
      </c>
      <c r="C724" s="6">
        <f>'Input (2) &amp; Process (1)'!U203</f>
        <v>291.36483860715839</v>
      </c>
      <c r="D724" s="6">
        <f>'Input (2) &amp; Process (1)'!V203</f>
        <v>568.46141232886748</v>
      </c>
      <c r="E724" s="6">
        <f>'Input (2) &amp; Process (1)'!W203</f>
        <v>497.85329678882613</v>
      </c>
      <c r="F724" s="6">
        <f>'Input (2) &amp; Process (1)'!X203</f>
        <v>392.29070673775806</v>
      </c>
      <c r="G724" s="6">
        <f>'Input (2) &amp; Process (1)'!Y203</f>
        <v>619.97136000000012</v>
      </c>
      <c r="H724" s="6">
        <f>'Input (2) &amp; Process (1)'!Z203</f>
        <v>527.89899363841778</v>
      </c>
      <c r="I724" s="6">
        <f>'Input (2) &amp; Process (1)'!AA203</f>
        <v>619.97136000000012</v>
      </c>
      <c r="J724" s="42"/>
      <c r="K724" s="42"/>
    </row>
    <row r="725" spans="1:11" ht="18.75" customHeight="1" x14ac:dyDescent="0.25">
      <c r="A725" s="328"/>
      <c r="B725" s="196">
        <f t="shared" si="1"/>
        <v>9</v>
      </c>
      <c r="C725" s="6">
        <f>'Input (2) &amp; Process (1)'!U204</f>
        <v>267.22570946073711</v>
      </c>
      <c r="D725" s="6">
        <f>'Input (2) &amp; Process (1)'!V204</f>
        <v>521.34392129564412</v>
      </c>
      <c r="E725" s="6">
        <f>'Input (2) &amp; Process (1)'!W204</f>
        <v>456.56330575560276</v>
      </c>
      <c r="F725" s="6">
        <f>'Input (2) &amp; Process (1)'!X204</f>
        <v>359.59981450961163</v>
      </c>
      <c r="G725" s="6">
        <f>'Input (2) &amp; Process (1)'!Y204</f>
        <v>568.30708000000016</v>
      </c>
      <c r="H725" s="6">
        <f>'Input (2) &amp; Process (1)'!Z204</f>
        <v>483.90741083521618</v>
      </c>
      <c r="I725" s="6">
        <f>'Input (2) &amp; Process (1)'!AA204</f>
        <v>568.30708000000016</v>
      </c>
      <c r="J725" s="42"/>
      <c r="K725" s="42"/>
    </row>
    <row r="726" spans="1:11" ht="18.75" customHeight="1" x14ac:dyDescent="0.25">
      <c r="A726" s="328"/>
      <c r="B726" s="196">
        <f t="shared" si="1"/>
        <v>10</v>
      </c>
      <c r="C726" s="6">
        <f>'Input (2) &amp; Process (1)'!U205</f>
        <v>243.0865803143158</v>
      </c>
      <c r="D726" s="6">
        <f>'Input (2) &amp; Process (1)'!V205</f>
        <v>474.22643026242054</v>
      </c>
      <c r="E726" s="6">
        <f>'Input (2) &amp; Process (1)'!W205</f>
        <v>415.27331472237915</v>
      </c>
      <c r="F726" s="6">
        <f>'Input (2) &amp; Process (1)'!X205</f>
        <v>326.90892228146504</v>
      </c>
      <c r="G726" s="6">
        <f>'Input (2) &amp; Process (1)'!Y205</f>
        <v>516.64280000000008</v>
      </c>
      <c r="H726" s="6">
        <f>'Input (2) &amp; Process (1)'!Z205</f>
        <v>439.91582803201482</v>
      </c>
      <c r="I726" s="6">
        <f>'Input (2) &amp; Process (1)'!AA205</f>
        <v>516.64280000000008</v>
      </c>
      <c r="J726" s="42"/>
      <c r="K726" s="42"/>
    </row>
    <row r="727" spans="1:11" ht="18.75" customHeight="1" x14ac:dyDescent="0.25">
      <c r="A727" s="328"/>
      <c r="B727" s="196">
        <f t="shared" si="1"/>
        <v>11</v>
      </c>
      <c r="C727" s="6">
        <f>'Input (2) &amp; Process (1)'!U206</f>
        <v>218.94745116789457</v>
      </c>
      <c r="D727" s="6">
        <f>'Input (2) &amp; Process (1)'!V206</f>
        <v>427.10893922919706</v>
      </c>
      <c r="E727" s="6">
        <f>'Input (2) &amp; Process (1)'!W206</f>
        <v>373.98332368915572</v>
      </c>
      <c r="F727" s="6">
        <f>'Input (2) &amp; Process (1)'!X206</f>
        <v>294.21803005331856</v>
      </c>
      <c r="G727" s="6">
        <f>'Input (2) &amp; Process (1)'!Y206</f>
        <v>464.97852000000006</v>
      </c>
      <c r="H727" s="6">
        <f>'Input (2) &amp; Process (1)'!Z206</f>
        <v>395.92424522881333</v>
      </c>
      <c r="I727" s="6">
        <f>'Input (2) &amp; Process (1)'!AA206</f>
        <v>464.97852000000006</v>
      </c>
      <c r="J727" s="42"/>
      <c r="K727" s="42"/>
    </row>
    <row r="728" spans="1:11" ht="18.75" customHeight="1" x14ac:dyDescent="0.25">
      <c r="A728" s="328"/>
      <c r="B728" s="196">
        <f t="shared" si="1"/>
        <v>12</v>
      </c>
      <c r="C728" s="6">
        <f>'Input (2) &amp; Process (1)'!U207</f>
        <v>194.80832202147332</v>
      </c>
      <c r="D728" s="6">
        <f>'Input (2) &amp; Process (1)'!V207</f>
        <v>379.99144819597359</v>
      </c>
      <c r="E728" s="6">
        <f>'Input (2) &amp; Process (1)'!W207</f>
        <v>332.69333265593229</v>
      </c>
      <c r="F728" s="6">
        <f>'Input (2) &amp; Process (1)'!X207</f>
        <v>261.52713782517208</v>
      </c>
      <c r="G728" s="6">
        <f>'Input (2) &amp; Process (1)'!Y207</f>
        <v>413.3142400000001</v>
      </c>
      <c r="H728" s="6">
        <f>'Input (2) &amp; Process (1)'!Z207</f>
        <v>351.9326624256118</v>
      </c>
      <c r="I728" s="6">
        <f>'Input (2) &amp; Process (1)'!AA207</f>
        <v>413.3142400000001</v>
      </c>
      <c r="J728" s="42"/>
      <c r="K728" s="42"/>
    </row>
    <row r="729" spans="1:11" ht="18.75" customHeight="1" x14ac:dyDescent="0.25">
      <c r="A729" s="328"/>
      <c r="B729" s="196">
        <f t="shared" si="1"/>
        <v>13</v>
      </c>
      <c r="C729" s="6">
        <f>'Input (2) &amp; Process (1)'!U208</f>
        <v>170.66919287505209</v>
      </c>
      <c r="D729" s="6">
        <f>'Input (2) &amp; Process (1)'!V208</f>
        <v>332.87395716275012</v>
      </c>
      <c r="E729" s="6">
        <f>'Input (2) &amp; Process (1)'!W208</f>
        <v>291.40334162270881</v>
      </c>
      <c r="F729" s="6">
        <f>'Input (2) &amp; Process (1)'!X208</f>
        <v>228.83624559702554</v>
      </c>
      <c r="G729" s="6">
        <f>'Input (2) &amp; Process (1)'!Y208</f>
        <v>361.64996000000008</v>
      </c>
      <c r="H729" s="6">
        <f>'Input (2) &amp; Process (1)'!Z208</f>
        <v>307.94107962241037</v>
      </c>
      <c r="I729" s="6">
        <f>'Input (2) &amp; Process (1)'!AA208</f>
        <v>361.64996000000008</v>
      </c>
      <c r="J729" s="42"/>
      <c r="K729" s="42"/>
    </row>
    <row r="730" spans="1:11" ht="18.75" customHeight="1" x14ac:dyDescent="0.25">
      <c r="A730" s="328"/>
      <c r="B730" s="196">
        <f t="shared" si="1"/>
        <v>14</v>
      </c>
      <c r="C730" s="6">
        <f>'Input (2) &amp; Process (1)'!U209</f>
        <v>146.53006372863081</v>
      </c>
      <c r="D730" s="6">
        <f>'Input (2) &amp; Process (1)'!V209</f>
        <v>285.75646612952664</v>
      </c>
      <c r="E730" s="6">
        <f>'Input (2) &amp; Process (1)'!W209</f>
        <v>250.11335058948532</v>
      </c>
      <c r="F730" s="6">
        <f>'Input (2) &amp; Process (1)'!X209</f>
        <v>196.14535336887903</v>
      </c>
      <c r="G730" s="6">
        <f>'Input (2) &amp; Process (1)'!Y209</f>
        <v>309.98568000000006</v>
      </c>
      <c r="H730" s="6">
        <f>'Input (2) &amp; Process (1)'!Z209</f>
        <v>263.94949681920889</v>
      </c>
      <c r="I730" s="6">
        <f>'Input (2) &amp; Process (1)'!AA209</f>
        <v>309.98568000000006</v>
      </c>
      <c r="J730" s="42"/>
      <c r="K730" s="42"/>
    </row>
    <row r="731" spans="1:11" ht="18.75" customHeight="1" x14ac:dyDescent="0.25">
      <c r="A731" s="328"/>
      <c r="B731" s="196">
        <f t="shared" si="1"/>
        <v>15</v>
      </c>
      <c r="C731" s="6">
        <f>'Input (2) &amp; Process (1)'!U210</f>
        <v>122.39093458220952</v>
      </c>
      <c r="D731" s="6">
        <f>'Input (2) &amp; Process (1)'!V210</f>
        <v>238.6389750963032</v>
      </c>
      <c r="E731" s="6">
        <f>'Input (2) &amp; Process (1)'!W210</f>
        <v>208.82335955626189</v>
      </c>
      <c r="F731" s="6">
        <f>'Input (2) &amp; Process (1)'!X210</f>
        <v>163.45446114073252</v>
      </c>
      <c r="G731" s="6">
        <f>'Input (2) &amp; Process (1)'!Y210</f>
        <v>258.32140000000004</v>
      </c>
      <c r="H731" s="6">
        <f>'Input (2) &amp; Process (1)'!Z210</f>
        <v>219.95791401600741</v>
      </c>
      <c r="I731" s="6">
        <f>'Input (2) &amp; Process (1)'!AA210</f>
        <v>258.32140000000004</v>
      </c>
      <c r="J731" s="42"/>
      <c r="K731" s="42"/>
    </row>
    <row r="732" spans="1:11" ht="18.75" customHeight="1" x14ac:dyDescent="0.25">
      <c r="A732" s="328"/>
      <c r="B732" s="196">
        <f t="shared" si="1"/>
        <v>16</v>
      </c>
      <c r="C732" s="6">
        <f>'Input (2) &amp; Process (1)'!U211</f>
        <v>98.251805435788299</v>
      </c>
      <c r="D732" s="6">
        <f>'Input (2) &amp; Process (1)'!V211</f>
        <v>191.52148406307975</v>
      </c>
      <c r="E732" s="6">
        <f>'Input (2) &amp; Process (1)'!W211</f>
        <v>167.53336852303843</v>
      </c>
      <c r="F732" s="6">
        <f>'Input (2) &amp; Process (1)'!X211</f>
        <v>130.76356891258604</v>
      </c>
      <c r="G732" s="6">
        <f>'Input (2) &amp; Process (1)'!Y211</f>
        <v>206.65712000000005</v>
      </c>
      <c r="H732" s="6">
        <f>'Input (2) &amp; Process (1)'!Z211</f>
        <v>175.9663312128059</v>
      </c>
      <c r="I732" s="6">
        <f>'Input (2) &amp; Process (1)'!AA211</f>
        <v>206.65712000000005</v>
      </c>
      <c r="J732" s="42"/>
      <c r="K732" s="42"/>
    </row>
    <row r="733" spans="1:11" ht="18.75" customHeight="1" x14ac:dyDescent="0.25">
      <c r="A733" s="328"/>
      <c r="B733" s="196">
        <f t="shared" si="1"/>
        <v>17</v>
      </c>
      <c r="C733" s="6">
        <f>'Input (2) &amp; Process (1)'!U212</f>
        <v>74.112676289367045</v>
      </c>
      <c r="D733" s="6">
        <f>'Input (2) &amp; Process (1)'!V212</f>
        <v>144.40399302985628</v>
      </c>
      <c r="E733" s="6">
        <f>'Input (2) &amp; Process (1)'!W212</f>
        <v>126.24337748981495</v>
      </c>
      <c r="F733" s="6">
        <f>'Input (2) &amp; Process (1)'!X212</f>
        <v>98.072676684439514</v>
      </c>
      <c r="G733" s="6">
        <f>'Input (2) &amp; Process (1)'!Y212</f>
        <v>154.99284000000003</v>
      </c>
      <c r="H733" s="6">
        <f>'Input (2) &amp; Process (1)'!Z212</f>
        <v>131.97474840960444</v>
      </c>
      <c r="I733" s="6">
        <f>'Input (2) &amp; Process (1)'!AA212</f>
        <v>154.99284000000003</v>
      </c>
      <c r="J733" s="42"/>
      <c r="K733" s="42"/>
    </row>
    <row r="734" spans="1:11" ht="18.75" customHeight="1" x14ac:dyDescent="0.25">
      <c r="A734" s="328"/>
      <c r="B734" s="196">
        <f t="shared" si="1"/>
        <v>18</v>
      </c>
      <c r="C734" s="6">
        <f>'Input (2) &amp; Process (1)'!U213</f>
        <v>49.973547142945776</v>
      </c>
      <c r="D734" s="6">
        <f>'Input (2) &amp; Process (1)'!V213</f>
        <v>97.286501996632822</v>
      </c>
      <c r="E734" s="6">
        <f>'Input (2) &amp; Process (1)'!W213</f>
        <v>84.953386456591517</v>
      </c>
      <c r="F734" s="6">
        <f>'Input (2) &amp; Process (1)'!X213</f>
        <v>65.381784456293019</v>
      </c>
      <c r="G734" s="6">
        <f>'Input (2) &amp; Process (1)'!Y213</f>
        <v>103.32856000000002</v>
      </c>
      <c r="H734" s="6">
        <f>'Input (2) &amp; Process (1)'!Z213</f>
        <v>87.983165606402949</v>
      </c>
      <c r="I734" s="6">
        <f>'Input (2) &amp; Process (1)'!AA213</f>
        <v>103.32856000000002</v>
      </c>
      <c r="J734" s="42"/>
      <c r="K734" s="42"/>
    </row>
    <row r="735" spans="1:11" ht="18.75" customHeight="1" x14ac:dyDescent="0.25">
      <c r="A735" s="328"/>
      <c r="B735" s="196">
        <f t="shared" si="1"/>
        <v>19</v>
      </c>
      <c r="C735" s="6">
        <f>'Input (2) &amp; Process (1)'!U214</f>
        <v>25.834417996524529</v>
      </c>
      <c r="D735" s="6">
        <f>'Input (2) &amp; Process (1)'!V214</f>
        <v>50.169010963409356</v>
      </c>
      <c r="E735" s="6">
        <f>'Input (2) &amp; Process (1)'!W214</f>
        <v>43.663395423368044</v>
      </c>
      <c r="F735" s="6">
        <f>'Input (2) &amp; Process (1)'!X214</f>
        <v>32.69089222814651</v>
      </c>
      <c r="G735" s="6">
        <f>'Input (2) &amp; Process (1)'!Y214</f>
        <v>51.664280000000012</v>
      </c>
      <c r="H735" s="6">
        <f>'Input (2) &amp; Process (1)'!Z214</f>
        <v>43.991582803201474</v>
      </c>
      <c r="I735" s="6">
        <f>'Input (2) &amp; Process (1)'!AA214</f>
        <v>51.664280000000012</v>
      </c>
      <c r="J735" s="42"/>
      <c r="K735" s="42"/>
    </row>
    <row r="736" spans="1:11" ht="18.75" customHeight="1" x14ac:dyDescent="0.25">
      <c r="A736" s="328"/>
      <c r="B736" s="196">
        <f t="shared" si="1"/>
        <v>20</v>
      </c>
      <c r="C736" s="6">
        <f>'Input (2) &amp; Process (1)'!U215</f>
        <v>1.6952888501032697</v>
      </c>
      <c r="D736" s="6">
        <f>'Input (2) &amp; Process (1)'!V215</f>
        <v>3.0515199301858855</v>
      </c>
      <c r="E736" s="6">
        <f>'Input (2) &amp; Process (1)'!W215</f>
        <v>2.3734043901445774</v>
      </c>
      <c r="F736" s="6">
        <f>'Input (2) &amp; Process (1)'!X215</f>
        <v>0</v>
      </c>
      <c r="G736" s="6">
        <f>'Input (2) &amp; Process (1)'!Y215</f>
        <v>0</v>
      </c>
      <c r="H736" s="6">
        <f>'Input (2) &amp; Process (1)'!Z215</f>
        <v>0</v>
      </c>
      <c r="I736" s="6">
        <f>'Input (2) &amp; Process (1)'!AA215</f>
        <v>3.0515199301858855</v>
      </c>
      <c r="J736" s="42"/>
      <c r="K736" s="42"/>
    </row>
    <row r="737" spans="1:11" ht="18.75" customHeight="1" x14ac:dyDescent="0.25">
      <c r="A737" s="328"/>
      <c r="J737" s="42"/>
      <c r="K737" s="42"/>
    </row>
    <row r="738" spans="1:11" ht="18.75" customHeight="1" x14ac:dyDescent="0.25">
      <c r="A738" s="132"/>
      <c r="B738" s="670" t="s">
        <v>1258</v>
      </c>
      <c r="C738" s="670"/>
      <c r="D738" s="670"/>
      <c r="E738" s="670"/>
      <c r="F738" s="670"/>
      <c r="G738" s="670"/>
      <c r="H738" s="670"/>
      <c r="I738" s="670"/>
      <c r="J738" s="42"/>
      <c r="K738" s="42"/>
    </row>
    <row r="739" spans="1:11" ht="18.75" customHeight="1" x14ac:dyDescent="0.25">
      <c r="A739" s="132"/>
      <c r="B739" s="670"/>
      <c r="C739" s="670"/>
      <c r="D739" s="670"/>
      <c r="E739" s="670"/>
      <c r="F739" s="670"/>
      <c r="G739" s="670"/>
      <c r="H739" s="670"/>
      <c r="I739" s="670"/>
      <c r="J739" s="42"/>
      <c r="K739" s="42"/>
    </row>
    <row r="740" spans="1:11" ht="18.75" customHeight="1" x14ac:dyDescent="0.25">
      <c r="A740" s="328"/>
      <c r="J740" s="42"/>
      <c r="K740" s="42"/>
    </row>
    <row r="741" spans="1:11" ht="18.75" customHeight="1" x14ac:dyDescent="0.25">
      <c r="A741" s="328"/>
      <c r="J741" s="42"/>
      <c r="K741" s="42"/>
    </row>
    <row r="742" spans="1:11" ht="18.75" customHeight="1" x14ac:dyDescent="0.25">
      <c r="A742" s="328"/>
      <c r="J742" s="42"/>
      <c r="K742" s="42"/>
    </row>
    <row r="743" spans="1:11" ht="18.75" customHeight="1" x14ac:dyDescent="0.25">
      <c r="A743" s="328"/>
      <c r="J743" s="42"/>
      <c r="K743" s="42"/>
    </row>
    <row r="744" spans="1:11" ht="18.75" customHeight="1" x14ac:dyDescent="0.25">
      <c r="A744" s="328"/>
      <c r="J744" s="42"/>
      <c r="K744" s="42"/>
    </row>
    <row r="745" spans="1:11" ht="18.75" customHeight="1" x14ac:dyDescent="0.25">
      <c r="A745" s="328"/>
      <c r="J745" s="42"/>
      <c r="K745" s="42"/>
    </row>
    <row r="746" spans="1:11" ht="18.75" customHeight="1" x14ac:dyDescent="0.25">
      <c r="A746" s="328"/>
      <c r="J746" s="42"/>
      <c r="K746" s="42"/>
    </row>
    <row r="747" spans="1:11" ht="18.75" customHeight="1" x14ac:dyDescent="0.25">
      <c r="A747" s="328"/>
      <c r="J747" s="42"/>
      <c r="K747" s="42"/>
    </row>
    <row r="748" spans="1:11" ht="18.75" customHeight="1" x14ac:dyDescent="0.25">
      <c r="A748" s="328"/>
      <c r="J748" s="42"/>
      <c r="K748" s="42"/>
    </row>
    <row r="749" spans="1:11" ht="18.75" customHeight="1" x14ac:dyDescent="0.25">
      <c r="A749" s="328"/>
      <c r="J749" s="42"/>
      <c r="K749" s="42"/>
    </row>
    <row r="750" spans="1:11" ht="18.75" customHeight="1" x14ac:dyDescent="0.25">
      <c r="A750" s="328"/>
      <c r="J750" s="42"/>
      <c r="K750" s="42"/>
    </row>
    <row r="751" spans="1:11" ht="18.75" customHeight="1" x14ac:dyDescent="0.25">
      <c r="A751" s="132"/>
      <c r="B751" s="670" t="s">
        <v>1259</v>
      </c>
      <c r="C751" s="670"/>
      <c r="D751" s="670"/>
      <c r="E751" s="670"/>
      <c r="F751" s="670"/>
      <c r="G751" s="670"/>
      <c r="H751" s="670"/>
      <c r="I751" s="670"/>
      <c r="J751" s="42"/>
      <c r="K751" s="42"/>
    </row>
    <row r="752" spans="1:11" ht="18.75" customHeight="1" x14ac:dyDescent="0.25">
      <c r="A752" s="132"/>
      <c r="B752" s="670"/>
      <c r="C752" s="670"/>
      <c r="D752" s="670"/>
      <c r="E752" s="670"/>
      <c r="F752" s="670"/>
      <c r="G752" s="670"/>
      <c r="H752" s="670"/>
      <c r="I752" s="670"/>
      <c r="J752" s="42"/>
      <c r="K752" s="42"/>
    </row>
    <row r="753" spans="1:11" ht="18.75" customHeight="1" x14ac:dyDescent="0.25">
      <c r="A753" s="328"/>
      <c r="J753" s="42"/>
      <c r="K753" s="42"/>
    </row>
    <row r="754" spans="1:11" ht="18.75" customHeight="1" x14ac:dyDescent="0.25">
      <c r="A754" s="328"/>
      <c r="J754" s="42"/>
      <c r="K754" s="42"/>
    </row>
    <row r="755" spans="1:11" ht="18.75" customHeight="1" x14ac:dyDescent="0.25">
      <c r="A755" s="328"/>
      <c r="J755" s="42"/>
      <c r="K755" s="42"/>
    </row>
    <row r="756" spans="1:11" ht="18.75" customHeight="1" x14ac:dyDescent="0.25">
      <c r="A756" s="328"/>
      <c r="J756" s="42"/>
      <c r="K756" s="42"/>
    </row>
    <row r="757" spans="1:11" ht="18.75" customHeight="1" x14ac:dyDescent="0.25">
      <c r="A757" s="328"/>
      <c r="J757" s="42"/>
      <c r="K757" s="42"/>
    </row>
    <row r="758" spans="1:11" ht="18.75" customHeight="1" x14ac:dyDescent="0.25">
      <c r="A758" s="328"/>
      <c r="J758" s="42"/>
      <c r="K758" s="42"/>
    </row>
    <row r="759" spans="1:11" ht="18.75" customHeight="1" x14ac:dyDescent="0.25">
      <c r="A759" s="328"/>
      <c r="J759" s="42"/>
      <c r="K759" s="42"/>
    </row>
    <row r="760" spans="1:11" ht="18.75" customHeight="1" x14ac:dyDescent="0.25">
      <c r="A760" s="328"/>
      <c r="J760" s="42"/>
      <c r="K760" s="42"/>
    </row>
    <row r="761" spans="1:11" ht="18.75" customHeight="1" x14ac:dyDescent="0.25">
      <c r="A761" s="328"/>
      <c r="J761" s="42"/>
      <c r="K761" s="42"/>
    </row>
    <row r="762" spans="1:11" ht="18.75" customHeight="1" x14ac:dyDescent="0.25">
      <c r="A762" s="328"/>
      <c r="J762" s="42"/>
      <c r="K762" s="42"/>
    </row>
    <row r="763" spans="1:11" ht="18.75" customHeight="1" x14ac:dyDescent="0.25">
      <c r="A763" s="328"/>
      <c r="J763" s="42"/>
      <c r="K763" s="42"/>
    </row>
    <row r="764" spans="1:11" ht="18.75" customHeight="1" x14ac:dyDescent="0.25">
      <c r="A764" s="328"/>
      <c r="J764" s="42"/>
      <c r="K764" s="42"/>
    </row>
    <row r="765" spans="1:11" ht="18.75" customHeight="1" x14ac:dyDescent="0.25">
      <c r="A765" s="328"/>
      <c r="J765" s="42"/>
      <c r="K765" s="42"/>
    </row>
    <row r="766" spans="1:11" ht="18.75" customHeight="1" x14ac:dyDescent="0.25">
      <c r="A766" s="328"/>
      <c r="J766" s="42"/>
      <c r="K766" s="42"/>
    </row>
    <row r="767" spans="1:11" ht="18.75" customHeight="1" x14ac:dyDescent="0.25">
      <c r="A767" s="328"/>
      <c r="J767" s="42"/>
      <c r="K767" s="42"/>
    </row>
    <row r="768" spans="1:11" ht="18.75" customHeight="1" x14ac:dyDescent="0.25">
      <c r="A768" s="328"/>
      <c r="J768" s="42"/>
      <c r="K768" s="42"/>
    </row>
    <row r="769" spans="1:11" ht="18.75" customHeight="1" x14ac:dyDescent="0.25">
      <c r="A769" s="328"/>
      <c r="J769" s="42"/>
      <c r="K769" s="42"/>
    </row>
    <row r="770" spans="1:11" ht="18.75" customHeight="1" x14ac:dyDescent="0.25">
      <c r="A770" s="328"/>
      <c r="J770" s="42"/>
      <c r="K770" s="42"/>
    </row>
    <row r="771" spans="1:11" ht="18.75" customHeight="1" x14ac:dyDescent="0.25">
      <c r="A771" s="328"/>
      <c r="J771" s="42"/>
      <c r="K771" s="42"/>
    </row>
    <row r="772" spans="1:11" ht="18.75" customHeight="1" x14ac:dyDescent="0.25">
      <c r="A772" s="328"/>
      <c r="J772" s="42"/>
      <c r="K772" s="42"/>
    </row>
    <row r="773" spans="1:11" ht="18.75" customHeight="1" x14ac:dyDescent="0.25">
      <c r="A773" s="328"/>
      <c r="J773" s="42"/>
      <c r="K773" s="42"/>
    </row>
    <row r="774" spans="1:11" ht="18.75" customHeight="1" x14ac:dyDescent="0.25">
      <c r="A774" s="531" t="s">
        <v>1290</v>
      </c>
      <c r="B774" s="482" t="s">
        <v>1260</v>
      </c>
      <c r="C774" s="483"/>
      <c r="D774" s="483"/>
      <c r="E774" s="483"/>
      <c r="F774" s="483"/>
      <c r="G774" s="484"/>
      <c r="H774" s="485"/>
      <c r="I774" s="486"/>
    </row>
    <row r="775" spans="1:11" ht="18.75" customHeight="1" x14ac:dyDescent="0.25">
      <c r="A775" s="132" t="s">
        <v>1309</v>
      </c>
      <c r="B775" s="328" t="s">
        <v>596</v>
      </c>
      <c r="C775" s="42"/>
      <c r="D775" s="42"/>
      <c r="E775" s="42"/>
      <c r="F775" s="42"/>
      <c r="G775" s="42"/>
      <c r="H775" s="30"/>
      <c r="I775" s="31"/>
      <c r="J775" s="42"/>
      <c r="K775" s="42"/>
    </row>
    <row r="776" spans="1:11" ht="18.75" customHeight="1" x14ac:dyDescent="0.25">
      <c r="A776" s="132"/>
      <c r="B776" s="550" t="s">
        <v>1261</v>
      </c>
      <c r="C776" s="42"/>
      <c r="D776" s="42"/>
      <c r="E776" s="42"/>
      <c r="F776" s="42"/>
      <c r="G776" s="42"/>
      <c r="H776" s="30"/>
      <c r="I776" s="31"/>
      <c r="J776" s="42"/>
      <c r="K776" s="42"/>
    </row>
    <row r="777" spans="1:11" ht="18.75" customHeight="1" x14ac:dyDescent="0.25">
      <c r="A777" s="132"/>
      <c r="B777" s="42"/>
      <c r="C777" s="42"/>
      <c r="D777" s="42"/>
      <c r="E777" s="649" t="s">
        <v>44</v>
      </c>
      <c r="F777" s="540" t="s">
        <v>45</v>
      </c>
      <c r="G777" s="651" t="s">
        <v>44</v>
      </c>
      <c r="H777" s="542" t="s">
        <v>47</v>
      </c>
      <c r="I777" s="119"/>
      <c r="J777" s="42"/>
      <c r="K777" s="42"/>
    </row>
    <row r="778" spans="1:11" ht="18.75" customHeight="1" x14ac:dyDescent="0.25">
      <c r="A778" s="132"/>
      <c r="B778" s="42"/>
      <c r="C778" s="42"/>
      <c r="D778" s="42"/>
      <c r="E778" s="650"/>
      <c r="F778" s="465" t="s">
        <v>46</v>
      </c>
      <c r="G778" s="610"/>
      <c r="H778" s="543" t="s">
        <v>46</v>
      </c>
      <c r="I778" s="119"/>
      <c r="J778" s="42"/>
      <c r="K778" s="42"/>
    </row>
    <row r="779" spans="1:11" ht="18.75" customHeight="1" x14ac:dyDescent="0.25">
      <c r="A779" s="132"/>
      <c r="B779" s="42"/>
      <c r="C779" s="42"/>
      <c r="D779" s="42"/>
      <c r="E779" s="544" t="s">
        <v>48</v>
      </c>
      <c r="F779" s="15">
        <f>'Process (2)'!F5</f>
        <v>0.64</v>
      </c>
      <c r="G779" s="13" t="s">
        <v>54</v>
      </c>
      <c r="H779" s="545">
        <f>'Process (2)'!H5</f>
        <v>7.0000000000000007E-2</v>
      </c>
      <c r="I779" s="119"/>
      <c r="J779" s="42"/>
      <c r="K779" s="42"/>
    </row>
    <row r="780" spans="1:11" ht="18.75" customHeight="1" x14ac:dyDescent="0.25">
      <c r="A780" s="132"/>
      <c r="B780" s="42"/>
      <c r="C780" s="42"/>
      <c r="D780" s="42"/>
      <c r="E780" s="544" t="s">
        <v>49</v>
      </c>
      <c r="F780" s="15">
        <f>'Process (2)'!F6</f>
        <v>0.8</v>
      </c>
      <c r="G780" s="13" t="s">
        <v>55</v>
      </c>
      <c r="H780" s="545">
        <f>'Process (2)'!H6</f>
        <v>0.13</v>
      </c>
      <c r="I780" s="119"/>
      <c r="J780" s="42"/>
      <c r="K780" s="42"/>
    </row>
    <row r="781" spans="1:11" ht="18.75" customHeight="1" x14ac:dyDescent="0.25">
      <c r="A781" s="132"/>
      <c r="B781" s="42"/>
      <c r="C781" s="42"/>
      <c r="D781" s="42"/>
      <c r="E781" s="544" t="s">
        <v>50</v>
      </c>
      <c r="F781" s="15">
        <f>'Process (2)'!F7</f>
        <v>0.30000000000000004</v>
      </c>
      <c r="G781" s="13" t="s">
        <v>56</v>
      </c>
      <c r="H781" s="545">
        <f>'Process (2)'!H7</f>
        <v>0.12</v>
      </c>
      <c r="I781" s="119"/>
      <c r="J781" s="42"/>
      <c r="K781" s="42"/>
    </row>
    <row r="782" spans="1:11" ht="18.75" customHeight="1" x14ac:dyDescent="0.25">
      <c r="A782" s="132"/>
      <c r="B782" s="42"/>
      <c r="C782" s="42"/>
      <c r="D782" s="42"/>
      <c r="E782" s="544" t="s">
        <v>51</v>
      </c>
      <c r="F782" s="15">
        <f>'Process (2)'!F8</f>
        <v>0.2</v>
      </c>
      <c r="G782" s="13" t="s">
        <v>57</v>
      </c>
      <c r="H782" s="545">
        <f>'Process (2)'!H8</f>
        <v>1.6500000000000001</v>
      </c>
      <c r="I782" s="119"/>
      <c r="J782" s="42"/>
      <c r="K782" s="42"/>
    </row>
    <row r="783" spans="1:11" ht="18.75" customHeight="1" x14ac:dyDescent="0.25">
      <c r="A783" s="132"/>
      <c r="B783" s="42"/>
      <c r="C783" s="42"/>
      <c r="D783" s="42"/>
      <c r="E783" s="544" t="s">
        <v>52</v>
      </c>
      <c r="F783" s="15">
        <f>'Process (2)'!F9</f>
        <v>0.24999999999999997</v>
      </c>
      <c r="G783" s="13" t="s">
        <v>58</v>
      </c>
      <c r="H783" s="545">
        <f>'Process (2)'!H9</f>
        <v>0.25</v>
      </c>
      <c r="I783" s="119"/>
      <c r="J783" s="42"/>
      <c r="K783" s="42"/>
    </row>
    <row r="784" spans="1:11" ht="18.75" customHeight="1" x14ac:dyDescent="0.25">
      <c r="A784" s="132"/>
      <c r="B784" s="42"/>
      <c r="C784" s="42"/>
      <c r="D784" s="42"/>
      <c r="E784" s="546" t="s">
        <v>53</v>
      </c>
      <c r="F784" s="547">
        <f>'Process (2)'!F10</f>
        <v>0.7</v>
      </c>
      <c r="G784" s="548" t="s">
        <v>59</v>
      </c>
      <c r="H784" s="549">
        <f>'Process (2)'!H10</f>
        <v>0.25</v>
      </c>
      <c r="I784" s="119"/>
      <c r="J784" s="42"/>
      <c r="K784" s="42"/>
    </row>
    <row r="785" spans="1:11" ht="18.75" customHeight="1" x14ac:dyDescent="0.25">
      <c r="A785" s="132"/>
      <c r="B785" s="42"/>
      <c r="C785" s="42"/>
      <c r="D785" s="42"/>
      <c r="E785" s="42"/>
      <c r="F785" s="42"/>
      <c r="G785" s="539" t="s">
        <v>60</v>
      </c>
      <c r="H785" s="314">
        <f>'Process (2)'!H11</f>
        <v>2.1</v>
      </c>
      <c r="I785" s="119"/>
      <c r="J785" s="42"/>
      <c r="K785" s="42"/>
    </row>
    <row r="786" spans="1:11" ht="18.75" customHeight="1" x14ac:dyDescent="0.25">
      <c r="A786" s="132"/>
      <c r="B786" s="42"/>
      <c r="C786" s="42"/>
      <c r="D786" s="42"/>
      <c r="E786" s="42"/>
      <c r="F786" s="42"/>
      <c r="G786" s="30"/>
      <c r="H786" s="31"/>
      <c r="I786" s="119"/>
      <c r="J786" s="42"/>
      <c r="K786" s="42"/>
    </row>
    <row r="787" spans="1:11" ht="18.75" customHeight="1" x14ac:dyDescent="0.25">
      <c r="A787" s="132"/>
      <c r="B787" s="42"/>
      <c r="C787" s="42"/>
      <c r="D787" s="42"/>
      <c r="E787" s="42"/>
      <c r="F787" s="42"/>
      <c r="G787" s="30"/>
      <c r="H787" s="31"/>
      <c r="I787" s="119"/>
      <c r="J787" s="42"/>
      <c r="K787" s="42"/>
    </row>
    <row r="788" spans="1:11" ht="18.75" customHeight="1" x14ac:dyDescent="0.25">
      <c r="A788" s="132" t="s">
        <v>1310</v>
      </c>
      <c r="B788" s="328" t="s">
        <v>597</v>
      </c>
      <c r="C788" s="42"/>
      <c r="D788" s="42"/>
      <c r="E788" s="42"/>
      <c r="F788" s="42"/>
      <c r="G788" s="42"/>
      <c r="H788" s="30"/>
      <c r="I788" s="31"/>
      <c r="J788" s="42"/>
      <c r="K788" s="42"/>
    </row>
    <row r="789" spans="1:11" ht="18.75" customHeight="1" x14ac:dyDescent="0.25">
      <c r="A789" s="132"/>
      <c r="B789" s="42"/>
      <c r="C789" s="42"/>
      <c r="D789" s="42"/>
      <c r="E789" s="42"/>
      <c r="F789" s="42"/>
      <c r="G789" s="42"/>
      <c r="H789" s="30"/>
      <c r="I789" s="31"/>
      <c r="J789" s="42"/>
      <c r="K789" s="42"/>
    </row>
    <row r="790" spans="1:11" ht="18.75" customHeight="1" x14ac:dyDescent="0.25">
      <c r="A790" s="132"/>
      <c r="B790" s="42"/>
      <c r="C790" s="42"/>
      <c r="D790" s="42"/>
      <c r="E790" s="42"/>
      <c r="F790" s="42"/>
      <c r="G790" s="42"/>
      <c r="H790" s="30"/>
      <c r="I790" s="31"/>
      <c r="J790" s="42"/>
      <c r="K790" s="42"/>
    </row>
    <row r="791" spans="1:11" ht="18.75" customHeight="1" x14ac:dyDescent="0.25">
      <c r="A791" s="132"/>
      <c r="B791" s="42"/>
      <c r="C791" s="42"/>
      <c r="D791" s="42"/>
      <c r="E791" s="42"/>
      <c r="F791" s="42"/>
      <c r="G791" s="42"/>
      <c r="H791" s="30"/>
      <c r="I791" s="31"/>
      <c r="J791" s="42"/>
      <c r="K791" s="42"/>
    </row>
    <row r="792" spans="1:11" ht="18.75" customHeight="1" x14ac:dyDescent="0.25">
      <c r="A792" s="132"/>
      <c r="B792" s="42"/>
      <c r="C792" s="42"/>
      <c r="D792" s="42"/>
      <c r="E792" s="42"/>
      <c r="F792" s="42"/>
      <c r="G792" s="42"/>
      <c r="H792" s="30"/>
      <c r="I792" s="31"/>
      <c r="J792" s="42"/>
      <c r="K792" s="42"/>
    </row>
    <row r="793" spans="1:11" ht="18.75" customHeight="1" x14ac:dyDescent="0.25">
      <c r="A793" s="132"/>
      <c r="B793" s="42"/>
      <c r="C793" s="42"/>
      <c r="D793" s="42"/>
      <c r="E793" s="42"/>
      <c r="F793" s="42"/>
      <c r="G793" s="42"/>
      <c r="H793" s="30"/>
      <c r="I793" s="31"/>
      <c r="J793" s="42"/>
      <c r="K793" s="42"/>
    </row>
    <row r="794" spans="1:11" ht="18.75" customHeight="1" x14ac:dyDescent="0.25">
      <c r="A794" s="132"/>
      <c r="B794" s="42"/>
      <c r="C794" s="42"/>
      <c r="D794" s="42"/>
      <c r="E794" s="42"/>
      <c r="F794" s="42"/>
      <c r="G794" s="42"/>
      <c r="H794" s="30"/>
      <c r="I794" s="31"/>
      <c r="J794" s="42"/>
      <c r="K794" s="42"/>
    </row>
    <row r="795" spans="1:11" ht="18.75" customHeight="1" x14ac:dyDescent="0.25">
      <c r="A795" s="132"/>
      <c r="B795" s="42"/>
      <c r="C795" s="42"/>
      <c r="D795" s="42"/>
      <c r="E795" s="42"/>
      <c r="F795" s="42"/>
      <c r="G795" s="42"/>
      <c r="H795" s="30"/>
      <c r="I795" s="31"/>
      <c r="J795" s="42"/>
      <c r="K795" s="42"/>
    </row>
    <row r="796" spans="1:11" ht="18.75" customHeight="1" x14ac:dyDescent="0.25">
      <c r="A796" s="132"/>
      <c r="B796" s="42"/>
      <c r="C796" s="42"/>
      <c r="D796" s="42"/>
      <c r="E796" s="42"/>
      <c r="F796" s="42"/>
      <c r="G796" s="42"/>
      <c r="H796" s="30"/>
      <c r="I796" s="31"/>
      <c r="J796" s="42"/>
      <c r="K796" s="42"/>
    </row>
    <row r="797" spans="1:11" ht="18.75" customHeight="1" x14ac:dyDescent="0.25">
      <c r="A797" s="132"/>
      <c r="B797" s="42"/>
      <c r="C797" s="42"/>
      <c r="D797" s="42"/>
      <c r="E797" s="42"/>
      <c r="F797" s="42"/>
      <c r="G797" s="42"/>
      <c r="H797" s="30"/>
      <c r="I797" s="31"/>
      <c r="J797" s="42"/>
      <c r="K797" s="42"/>
    </row>
    <row r="798" spans="1:11" ht="18.75" customHeight="1" x14ac:dyDescent="0.25">
      <c r="A798" s="132"/>
      <c r="B798" s="42"/>
      <c r="C798" s="42"/>
      <c r="D798" s="42"/>
      <c r="E798" s="42"/>
      <c r="F798" s="42"/>
      <c r="G798" s="42"/>
      <c r="H798" s="30"/>
      <c r="I798" s="31"/>
      <c r="J798" s="42"/>
      <c r="K798" s="42"/>
    </row>
    <row r="799" spans="1:11" ht="18.75" customHeight="1" x14ac:dyDescent="0.25">
      <c r="A799" s="132"/>
      <c r="B799" s="42"/>
      <c r="C799" s="42"/>
      <c r="D799" s="42"/>
      <c r="E799" s="42"/>
      <c r="F799" s="42"/>
      <c r="G799" s="42"/>
      <c r="H799" s="30"/>
      <c r="I799" s="31"/>
      <c r="J799" s="42"/>
      <c r="K799" s="42"/>
    </row>
    <row r="800" spans="1:11" ht="18.75" customHeight="1" x14ac:dyDescent="0.25">
      <c r="A800" s="132"/>
      <c r="B800" s="42" t="s">
        <v>75</v>
      </c>
      <c r="C800" s="42"/>
      <c r="D800" s="42"/>
      <c r="E800" s="42"/>
      <c r="F800" s="42"/>
      <c r="G800" s="42"/>
      <c r="H800" s="30"/>
      <c r="I800" s="31"/>
      <c r="J800" s="42"/>
      <c r="K800" s="42"/>
    </row>
    <row r="801" spans="1:11" ht="18.75" customHeight="1" x14ac:dyDescent="0.25">
      <c r="A801" s="132"/>
      <c r="B801" s="34" t="s">
        <v>72</v>
      </c>
      <c r="C801" s="42"/>
      <c r="D801" s="42"/>
      <c r="E801" s="42"/>
      <c r="F801" s="42"/>
      <c r="G801" s="30" t="s">
        <v>1164</v>
      </c>
      <c r="H801" s="6">
        <f>'Process (2)'!H30</f>
        <v>10</v>
      </c>
      <c r="I801" s="32" t="s">
        <v>2</v>
      </c>
      <c r="J801" s="42"/>
      <c r="K801" s="42"/>
    </row>
    <row r="802" spans="1:11" ht="18.75" customHeight="1" x14ac:dyDescent="0.25">
      <c r="A802" s="132"/>
      <c r="B802" s="34" t="s">
        <v>74</v>
      </c>
      <c r="C802" s="42"/>
      <c r="D802" s="42"/>
      <c r="E802" s="42"/>
      <c r="F802" s="42"/>
      <c r="G802" s="30" t="s">
        <v>1165</v>
      </c>
      <c r="H802" s="6">
        <f>'Process (2)'!H31</f>
        <v>1.85</v>
      </c>
      <c r="I802" s="32" t="s">
        <v>2</v>
      </c>
      <c r="J802" s="42"/>
      <c r="K802" s="42"/>
    </row>
    <row r="803" spans="1:11" ht="18.75" customHeight="1" x14ac:dyDescent="0.25">
      <c r="A803" s="132"/>
      <c r="B803" s="34" t="s">
        <v>73</v>
      </c>
      <c r="C803" s="42"/>
      <c r="D803" s="42"/>
      <c r="E803" s="42"/>
      <c r="F803" s="42"/>
      <c r="G803" s="30" t="s">
        <v>1166</v>
      </c>
      <c r="H803" s="6">
        <f>'Process (2)'!H32</f>
        <v>3</v>
      </c>
      <c r="I803" s="32" t="s">
        <v>2</v>
      </c>
      <c r="J803" s="42"/>
      <c r="K803" s="42"/>
    </row>
    <row r="804" spans="1:11" ht="18.75" customHeight="1" x14ac:dyDescent="0.25">
      <c r="A804" s="132"/>
      <c r="B804" s="42" t="s">
        <v>71</v>
      </c>
      <c r="C804" s="42"/>
      <c r="D804" s="42"/>
      <c r="E804" s="42"/>
      <c r="F804" s="42"/>
      <c r="G804" s="30" t="s">
        <v>1167</v>
      </c>
      <c r="H804" s="6">
        <f>'Process (2)'!H33</f>
        <v>1.85</v>
      </c>
      <c r="I804" s="32" t="s">
        <v>2</v>
      </c>
      <c r="J804" s="42"/>
      <c r="K804" s="42"/>
    </row>
    <row r="805" spans="1:11" ht="18.75" customHeight="1" x14ac:dyDescent="0.25">
      <c r="A805" s="132"/>
      <c r="B805" s="42" t="s">
        <v>76</v>
      </c>
      <c r="C805" s="42"/>
      <c r="D805" s="42"/>
      <c r="E805" s="42"/>
      <c r="F805" s="42"/>
      <c r="G805" s="30" t="s">
        <v>81</v>
      </c>
      <c r="H805" s="6">
        <f>'Process (2)'!H34</f>
        <v>25310.274593532169</v>
      </c>
      <c r="I805" s="32" t="s">
        <v>28</v>
      </c>
      <c r="J805" s="42"/>
      <c r="K805" s="42"/>
    </row>
    <row r="806" spans="1:11" ht="18.75" customHeight="1" x14ac:dyDescent="0.25">
      <c r="A806" s="132"/>
      <c r="B806" s="42" t="s">
        <v>77</v>
      </c>
      <c r="C806" s="42"/>
      <c r="D806" s="42"/>
      <c r="E806" s="42"/>
      <c r="F806" s="42"/>
      <c r="J806" s="42"/>
      <c r="K806" s="42"/>
    </row>
    <row r="807" spans="1:11" ht="18.75" customHeight="1" x14ac:dyDescent="0.25">
      <c r="A807" s="132"/>
      <c r="B807" s="42"/>
      <c r="C807" s="42"/>
      <c r="D807" s="42"/>
      <c r="E807" s="42"/>
      <c r="F807" s="42"/>
      <c r="G807" s="30" t="s">
        <v>80</v>
      </c>
      <c r="H807" s="6">
        <f>'Process (2)'!H35</f>
        <v>35749.528668221647</v>
      </c>
      <c r="I807" s="32" t="s">
        <v>28</v>
      </c>
      <c r="J807" s="42"/>
      <c r="K807" s="42"/>
    </row>
    <row r="808" spans="1:11" ht="18.75" customHeight="1" x14ac:dyDescent="0.25">
      <c r="A808" s="132"/>
      <c r="B808" s="42" t="s">
        <v>78</v>
      </c>
      <c r="C808" s="42"/>
      <c r="D808" s="42"/>
      <c r="E808" s="42"/>
      <c r="F808" s="42"/>
      <c r="G808" s="30" t="s">
        <v>82</v>
      </c>
      <c r="H808" s="459">
        <f>'Process (2)'!H36</f>
        <v>0.70798904311236122</v>
      </c>
      <c r="I808" s="32"/>
      <c r="J808" s="42"/>
      <c r="K808" s="42"/>
    </row>
    <row r="809" spans="1:11" ht="18.75" customHeight="1" x14ac:dyDescent="0.25">
      <c r="A809" s="132"/>
      <c r="B809" s="42" t="s">
        <v>79</v>
      </c>
      <c r="C809" s="42"/>
      <c r="D809" s="42"/>
      <c r="E809" s="42"/>
      <c r="F809" s="42"/>
      <c r="G809" s="30" t="s">
        <v>83</v>
      </c>
      <c r="H809" s="459">
        <f>'Process (2)'!H37</f>
        <v>1.3097797297578684</v>
      </c>
      <c r="I809" s="32" t="s">
        <v>2</v>
      </c>
      <c r="J809" s="42"/>
      <c r="K809" s="42"/>
    </row>
    <row r="810" spans="1:11" ht="18.75" customHeight="1" x14ac:dyDescent="0.25">
      <c r="A810" s="132"/>
      <c r="B810" s="42"/>
      <c r="C810" s="42"/>
      <c r="D810" s="42"/>
      <c r="E810" s="42"/>
      <c r="F810" s="42"/>
      <c r="G810" s="42"/>
      <c r="H810" s="30"/>
      <c r="I810" s="31"/>
      <c r="J810" s="42"/>
      <c r="K810" s="42"/>
    </row>
    <row r="811" spans="1:11" ht="18.75" customHeight="1" x14ac:dyDescent="0.25">
      <c r="A811" s="132" t="s">
        <v>1311</v>
      </c>
      <c r="B811" s="328" t="s">
        <v>599</v>
      </c>
      <c r="C811" s="42"/>
      <c r="D811" s="42"/>
      <c r="E811" s="42"/>
      <c r="F811" s="42"/>
      <c r="G811" s="42"/>
      <c r="H811" s="30"/>
      <c r="I811" s="31"/>
      <c r="J811" s="42"/>
      <c r="K811" s="42"/>
    </row>
    <row r="812" spans="1:11" ht="18.75" customHeight="1" x14ac:dyDescent="0.25">
      <c r="A812" s="132"/>
      <c r="B812" s="42"/>
      <c r="C812" s="42"/>
      <c r="D812" s="42"/>
      <c r="E812" s="42"/>
      <c r="F812" s="42"/>
      <c r="G812" s="42"/>
      <c r="H812" s="30"/>
      <c r="I812" s="31"/>
      <c r="J812" s="42"/>
      <c r="K812" s="42"/>
    </row>
    <row r="813" spans="1:11" ht="18.75" customHeight="1" x14ac:dyDescent="0.25">
      <c r="A813" s="132"/>
      <c r="B813" s="42"/>
      <c r="C813" s="42"/>
      <c r="D813" s="42"/>
      <c r="E813" s="42"/>
      <c r="F813" s="42"/>
      <c r="G813" s="42"/>
      <c r="H813" s="30"/>
      <c r="I813" s="31"/>
      <c r="J813" s="42"/>
      <c r="K813" s="42"/>
    </row>
    <row r="814" spans="1:11" ht="18.75" customHeight="1" x14ac:dyDescent="0.25">
      <c r="A814" s="132"/>
      <c r="B814" s="42"/>
      <c r="C814" s="42"/>
      <c r="D814" s="42"/>
      <c r="E814" s="42"/>
      <c r="F814" s="42"/>
      <c r="G814" s="42"/>
      <c r="H814" s="30"/>
      <c r="I814" s="31"/>
      <c r="J814" s="42"/>
      <c r="K814" s="42"/>
    </row>
    <row r="815" spans="1:11" ht="18.75" customHeight="1" x14ac:dyDescent="0.25">
      <c r="A815" s="132"/>
      <c r="B815" s="42"/>
      <c r="C815" s="42"/>
      <c r="D815" s="42"/>
      <c r="E815" s="42"/>
      <c r="F815" s="42"/>
      <c r="G815" s="42"/>
      <c r="H815" s="30"/>
      <c r="I815" s="31"/>
      <c r="J815" s="42"/>
      <c r="K815" s="42"/>
    </row>
    <row r="816" spans="1:11" ht="18.75" customHeight="1" x14ac:dyDescent="0.25">
      <c r="A816" s="132"/>
      <c r="B816" s="42"/>
      <c r="C816" s="42"/>
      <c r="D816" s="42"/>
      <c r="E816" s="42"/>
      <c r="F816" s="42"/>
      <c r="G816" s="42"/>
      <c r="H816" s="30"/>
      <c r="I816" s="31"/>
      <c r="J816" s="42"/>
      <c r="K816" s="42"/>
    </row>
    <row r="817" spans="1:11" ht="18.75" customHeight="1" x14ac:dyDescent="0.25">
      <c r="A817" s="132"/>
      <c r="B817" s="42"/>
      <c r="C817" s="42"/>
      <c r="D817" s="42"/>
      <c r="E817" s="42"/>
      <c r="F817" s="42"/>
      <c r="G817" s="42"/>
      <c r="H817" s="30"/>
      <c r="I817" s="31"/>
      <c r="J817" s="42"/>
      <c r="K817" s="42"/>
    </row>
    <row r="818" spans="1:11" ht="18.75" customHeight="1" x14ac:dyDescent="0.25">
      <c r="A818" s="132"/>
      <c r="B818" s="42"/>
      <c r="C818" s="42"/>
      <c r="D818" s="42"/>
      <c r="E818" s="42"/>
      <c r="F818" s="42"/>
      <c r="G818" s="42"/>
      <c r="H818" s="30"/>
      <c r="I818" s="31"/>
      <c r="J818" s="42"/>
      <c r="K818" s="42"/>
    </row>
    <row r="819" spans="1:11" ht="18.75" customHeight="1" x14ac:dyDescent="0.25">
      <c r="A819" s="132"/>
      <c r="B819" s="42"/>
      <c r="C819" s="42"/>
      <c r="D819" s="42"/>
      <c r="E819" s="42"/>
      <c r="F819" s="42"/>
      <c r="G819" s="42"/>
      <c r="H819" s="30"/>
      <c r="I819" s="31"/>
      <c r="J819" s="42"/>
      <c r="K819" s="42"/>
    </row>
    <row r="820" spans="1:11" ht="18.75" customHeight="1" x14ac:dyDescent="0.25">
      <c r="A820" s="132"/>
      <c r="B820" s="42"/>
      <c r="C820" s="42"/>
      <c r="D820" s="42"/>
      <c r="E820" s="42"/>
      <c r="F820" s="42"/>
      <c r="G820" s="42"/>
      <c r="H820" s="30"/>
      <c r="I820" s="31"/>
      <c r="J820" s="42"/>
      <c r="K820" s="42"/>
    </row>
    <row r="821" spans="1:11" ht="18.75" customHeight="1" x14ac:dyDescent="0.25">
      <c r="A821" s="132"/>
      <c r="B821" s="42"/>
      <c r="C821" s="42"/>
      <c r="D821" s="42"/>
      <c r="E821" s="42"/>
      <c r="F821" s="42"/>
      <c r="G821" s="42"/>
      <c r="H821" s="30"/>
      <c r="I821" s="31"/>
      <c r="J821" s="42"/>
      <c r="K821" s="42"/>
    </row>
    <row r="822" spans="1:11" ht="18.75" customHeight="1" x14ac:dyDescent="0.25">
      <c r="A822" s="132"/>
      <c r="B822" s="42"/>
      <c r="C822" s="42"/>
      <c r="D822" s="42"/>
      <c r="E822" s="42"/>
      <c r="F822" s="42"/>
      <c r="G822" s="42"/>
      <c r="H822" s="30"/>
      <c r="I822" s="31"/>
      <c r="J822" s="42"/>
      <c r="K822" s="42"/>
    </row>
    <row r="823" spans="1:11" ht="18.75" customHeight="1" x14ac:dyDescent="0.25">
      <c r="A823" s="132"/>
      <c r="B823" s="42"/>
      <c r="C823" s="42"/>
      <c r="D823" s="42"/>
      <c r="E823" s="42"/>
      <c r="F823" s="42"/>
      <c r="G823" s="42"/>
      <c r="H823" s="30"/>
      <c r="I823" s="31"/>
      <c r="J823" s="42"/>
      <c r="K823" s="42"/>
    </row>
    <row r="824" spans="1:11" ht="18.75" customHeight="1" x14ac:dyDescent="0.25">
      <c r="A824" s="132"/>
      <c r="B824" s="42"/>
      <c r="C824" s="42"/>
      <c r="D824" s="42"/>
      <c r="E824" s="42"/>
      <c r="F824" s="42"/>
      <c r="G824" s="42"/>
      <c r="H824" s="30"/>
      <c r="I824" s="31"/>
      <c r="J824" s="42"/>
      <c r="K824" s="42"/>
    </row>
    <row r="825" spans="1:11" ht="18.75" customHeight="1" x14ac:dyDescent="0.25">
      <c r="A825" s="132"/>
      <c r="B825" s="623" t="s">
        <v>84</v>
      </c>
      <c r="C825" s="623"/>
      <c r="D825" s="624" t="s">
        <v>88</v>
      </c>
      <c r="E825" s="621" t="s">
        <v>90</v>
      </c>
      <c r="F825" s="621" t="s">
        <v>92</v>
      </c>
      <c r="G825" s="621" t="s">
        <v>94</v>
      </c>
      <c r="H825" s="621" t="s">
        <v>94</v>
      </c>
      <c r="I825" s="119"/>
      <c r="J825" s="42"/>
      <c r="K825" s="42"/>
    </row>
    <row r="826" spans="1:11" ht="18.75" customHeight="1" x14ac:dyDescent="0.25">
      <c r="A826" s="132"/>
      <c r="B826" s="467" t="s">
        <v>85</v>
      </c>
      <c r="C826" s="467" t="s">
        <v>87</v>
      </c>
      <c r="D826" s="624"/>
      <c r="E826" s="621"/>
      <c r="F826" s="621"/>
      <c r="G826" s="621"/>
      <c r="H826" s="621"/>
      <c r="I826" s="119"/>
      <c r="J826" s="42"/>
      <c r="K826" s="42"/>
    </row>
    <row r="827" spans="1:11" ht="18.75" customHeight="1" x14ac:dyDescent="0.25">
      <c r="A827" s="132"/>
      <c r="B827" s="467" t="s">
        <v>86</v>
      </c>
      <c r="C827" s="467" t="s">
        <v>60</v>
      </c>
      <c r="D827" s="460" t="s">
        <v>89</v>
      </c>
      <c r="E827" s="460" t="s">
        <v>91</v>
      </c>
      <c r="F827" s="460" t="s">
        <v>93</v>
      </c>
      <c r="G827" s="460" t="s">
        <v>97</v>
      </c>
      <c r="H827" s="460" t="s">
        <v>95</v>
      </c>
      <c r="I827" s="119"/>
      <c r="J827" s="42"/>
      <c r="K827" s="42"/>
    </row>
    <row r="828" spans="1:11" ht="18.75" customHeight="1" x14ac:dyDescent="0.25">
      <c r="A828" s="132"/>
      <c r="B828" s="467" t="s">
        <v>46</v>
      </c>
      <c r="C828" s="467" t="s">
        <v>46</v>
      </c>
      <c r="D828" s="460" t="s">
        <v>98</v>
      </c>
      <c r="E828" s="460" t="s">
        <v>46</v>
      </c>
      <c r="F828" s="460" t="s">
        <v>99</v>
      </c>
      <c r="G828" s="460" t="s">
        <v>100</v>
      </c>
      <c r="H828" s="460" t="s">
        <v>100</v>
      </c>
      <c r="I828" s="119"/>
      <c r="J828" s="42"/>
      <c r="K828" s="42"/>
    </row>
    <row r="829" spans="1:11" ht="18.75" customHeight="1" x14ac:dyDescent="0.25">
      <c r="A829" s="132"/>
      <c r="B829" s="6">
        <f>'Process (2)'!B57</f>
        <v>0.64</v>
      </c>
      <c r="C829" s="6">
        <f>'Process (2)'!C57</f>
        <v>7.0000000000000007E-2</v>
      </c>
      <c r="D829" s="20">
        <f>'Process (2)'!D57</f>
        <v>4.4800000000000006E-2</v>
      </c>
      <c r="E829" s="20">
        <f>'Process (2)'!E57</f>
        <v>2.0649999999999999</v>
      </c>
      <c r="F829" s="20">
        <f>'Process (2)'!F57</f>
        <v>9.2512000000000011E-2</v>
      </c>
      <c r="G829" s="20">
        <f>'Process (2)'!G57</f>
        <v>0.19103728</v>
      </c>
      <c r="H829" s="114">
        <f>'Process (2)'!H57</f>
        <v>1.8293333333333337E-5</v>
      </c>
      <c r="I829" s="119"/>
      <c r="J829" s="42"/>
      <c r="K829" s="42"/>
    </row>
    <row r="830" spans="1:11" ht="18.75" customHeight="1" x14ac:dyDescent="0.25">
      <c r="A830" s="132"/>
      <c r="B830" s="6">
        <f>'Process (2)'!B58</f>
        <v>0.8</v>
      </c>
      <c r="C830" s="6">
        <f>'Process (2)'!C58</f>
        <v>0.13</v>
      </c>
      <c r="D830" s="20">
        <f>'Process (2)'!D58</f>
        <v>0.10400000000000001</v>
      </c>
      <c r="E830" s="20">
        <f>'Process (2)'!E58</f>
        <v>1.9650000000000001</v>
      </c>
      <c r="F830" s="20">
        <f>'Process (2)'!F58</f>
        <v>0.20436000000000001</v>
      </c>
      <c r="G830" s="20">
        <f>'Process (2)'!G58</f>
        <v>0.40156740000000007</v>
      </c>
      <c r="H830" s="114">
        <f>'Process (2)'!H58</f>
        <v>1.4646666666666669E-4</v>
      </c>
      <c r="I830" s="119"/>
      <c r="J830" s="42"/>
      <c r="K830" s="42"/>
    </row>
    <row r="831" spans="1:11" ht="18.75" customHeight="1" x14ac:dyDescent="0.25">
      <c r="A831" s="132"/>
      <c r="B831" s="6">
        <f>'Process (2)'!B59</f>
        <v>0.30000000000000004</v>
      </c>
      <c r="C831" s="6">
        <f>'Process (2)'!C59</f>
        <v>0.12</v>
      </c>
      <c r="D831" s="20">
        <f>'Process (2)'!D59</f>
        <v>3.6000000000000004E-2</v>
      </c>
      <c r="E831" s="20">
        <f>'Process (2)'!E59</f>
        <v>1.86</v>
      </c>
      <c r="F831" s="20">
        <f>'Process (2)'!F59</f>
        <v>6.6960000000000006E-2</v>
      </c>
      <c r="G831" s="20">
        <f>'Process (2)'!G59</f>
        <v>0.12454560000000003</v>
      </c>
      <c r="H831" s="114">
        <f>'Process (2)'!H59</f>
        <v>2.8800000000000005E-5</v>
      </c>
      <c r="I831" s="119"/>
      <c r="J831" s="42"/>
      <c r="K831" s="42"/>
    </row>
    <row r="832" spans="1:11" ht="18.75" customHeight="1" x14ac:dyDescent="0.25">
      <c r="A832" s="132"/>
      <c r="B832" s="6">
        <f>'Process (2)'!B60</f>
        <v>0.2</v>
      </c>
      <c r="C832" s="6">
        <f>'Process (2)'!C60</f>
        <v>1.6500000000000001</v>
      </c>
      <c r="D832" s="20">
        <f>'Process (2)'!D60</f>
        <v>0.33000000000000007</v>
      </c>
      <c r="E832" s="20">
        <f>'Process (2)'!E60</f>
        <v>1.0750000000000002</v>
      </c>
      <c r="F832" s="20">
        <f>'Process (2)'!F60</f>
        <v>0.35475000000000012</v>
      </c>
      <c r="G832" s="20">
        <f>'Process (2)'!G60</f>
        <v>0.38135625000000017</v>
      </c>
      <c r="H832" s="114">
        <f>'Process (2)'!H60</f>
        <v>7.4868750000000026E-2</v>
      </c>
      <c r="I832" s="119"/>
      <c r="J832" s="42"/>
      <c r="K832" s="42"/>
    </row>
    <row r="833" spans="1:11" ht="18.75" customHeight="1" x14ac:dyDescent="0.25">
      <c r="A833" s="132"/>
      <c r="B833" s="6">
        <f>'Process (2)'!B61</f>
        <v>0.24999999999999997</v>
      </c>
      <c r="C833" s="6">
        <f>'Process (2)'!C61</f>
        <v>0.25</v>
      </c>
      <c r="D833" s="20">
        <f>'Process (2)'!D61</f>
        <v>6.2499999999999993E-2</v>
      </c>
      <c r="E833" s="20">
        <f>'Process (2)'!E61</f>
        <v>0.33333333333333331</v>
      </c>
      <c r="F833" s="20">
        <f>'Process (2)'!F61</f>
        <v>2.0833333333333329E-2</v>
      </c>
      <c r="G833" s="20">
        <f>'Process (2)'!G61</f>
        <v>6.9444444444444432E-3</v>
      </c>
      <c r="H833" s="114">
        <f>'Process (2)'!H61</f>
        <v>2.1701388888888885E-4</v>
      </c>
      <c r="I833" s="119"/>
      <c r="J833" s="42"/>
      <c r="K833" s="42"/>
    </row>
    <row r="834" spans="1:11" ht="18.75" customHeight="1" x14ac:dyDescent="0.25">
      <c r="A834" s="132"/>
      <c r="B834" s="6">
        <f>'Process (2)'!B62</f>
        <v>0.7</v>
      </c>
      <c r="C834" s="6">
        <f>'Process (2)'!C62</f>
        <v>0.25</v>
      </c>
      <c r="D834" s="20">
        <f>'Process (2)'!D62</f>
        <v>0.17499999999999999</v>
      </c>
      <c r="E834" s="20">
        <f>'Process (2)'!E62</f>
        <v>0.125</v>
      </c>
      <c r="F834" s="20">
        <f>'Process (2)'!F62</f>
        <v>2.1874999999999999E-2</v>
      </c>
      <c r="G834" s="20">
        <f>'Process (2)'!G62</f>
        <v>2.7343749999999998E-3</v>
      </c>
      <c r="H834" s="114">
        <f>'Process (2)'!H62</f>
        <v>9.1145833333333324E-4</v>
      </c>
      <c r="I834" s="119"/>
      <c r="J834" s="42"/>
      <c r="K834" s="42"/>
    </row>
    <row r="835" spans="1:11" ht="18.75" customHeight="1" x14ac:dyDescent="0.25">
      <c r="A835" s="132"/>
      <c r="B835" s="42"/>
      <c r="C835" s="22" t="s">
        <v>96</v>
      </c>
      <c r="D835" s="23">
        <f>'Process (2)'!D63</f>
        <v>0.75230000000000019</v>
      </c>
      <c r="E835" s="34"/>
      <c r="F835" s="23">
        <f>'Process (2)'!F63</f>
        <v>0.76129033333333351</v>
      </c>
      <c r="G835" s="23">
        <f>'Process (2)'!G63</f>
        <v>1.1081853494444447</v>
      </c>
      <c r="H835" s="23">
        <f>'Process (2)'!H63</f>
        <v>7.6190782222222253E-2</v>
      </c>
      <c r="I835" s="119"/>
      <c r="J835" s="42"/>
      <c r="K835" s="42"/>
    </row>
    <row r="836" spans="1:11" ht="18.75" customHeight="1" x14ac:dyDescent="0.25">
      <c r="A836" s="132"/>
      <c r="B836" s="42"/>
      <c r="C836" s="42"/>
      <c r="D836" s="42"/>
      <c r="E836" s="42"/>
      <c r="F836" s="42"/>
      <c r="G836" s="42"/>
      <c r="H836" s="30"/>
      <c r="I836" s="31"/>
      <c r="J836" s="42"/>
      <c r="K836" s="42"/>
    </row>
    <row r="837" spans="1:11" ht="18.75" customHeight="1" x14ac:dyDescent="0.25">
      <c r="A837" s="132"/>
      <c r="B837" s="42" t="s">
        <v>101</v>
      </c>
      <c r="C837" s="42"/>
      <c r="D837" s="42"/>
      <c r="E837" s="42"/>
      <c r="F837" s="42"/>
      <c r="G837" s="30" t="s">
        <v>107</v>
      </c>
      <c r="H837" s="459">
        <f>'Process (2)'!H65</f>
        <v>2.1</v>
      </c>
      <c r="I837" s="32" t="s">
        <v>2</v>
      </c>
      <c r="J837" s="42"/>
      <c r="K837" s="42"/>
    </row>
    <row r="838" spans="1:11" ht="18.75" customHeight="1" x14ac:dyDescent="0.25">
      <c r="A838" s="132"/>
      <c r="B838" s="42" t="s">
        <v>102</v>
      </c>
      <c r="C838" s="42"/>
      <c r="D838" s="42"/>
      <c r="E838" s="42"/>
      <c r="F838" s="42"/>
      <c r="G838" s="30" t="s">
        <v>108</v>
      </c>
      <c r="H838" s="459">
        <f>'Process (2)'!H66</f>
        <v>0.75230000000000019</v>
      </c>
      <c r="I838" s="32" t="s">
        <v>127</v>
      </c>
      <c r="J838" s="42"/>
      <c r="K838" s="42"/>
    </row>
    <row r="839" spans="1:11" ht="18.75" customHeight="1" x14ac:dyDescent="0.25">
      <c r="A839" s="132"/>
      <c r="B839" s="42" t="s">
        <v>103</v>
      </c>
      <c r="C839" s="42"/>
      <c r="D839" s="42"/>
      <c r="E839" s="42"/>
      <c r="F839" s="42"/>
      <c r="G839" s="30" t="s">
        <v>112</v>
      </c>
      <c r="H839" s="459">
        <f>'Process (2)'!H67</f>
        <v>1.0119504630245026</v>
      </c>
      <c r="I839" s="32" t="s">
        <v>2</v>
      </c>
      <c r="J839" s="42"/>
      <c r="K839" s="42"/>
    </row>
    <row r="840" spans="1:11" ht="18.75" customHeight="1" x14ac:dyDescent="0.25">
      <c r="A840" s="132"/>
      <c r="B840" s="42"/>
      <c r="C840" s="42"/>
      <c r="D840" s="42"/>
      <c r="E840" s="42"/>
      <c r="F840" s="42"/>
      <c r="G840" s="30" t="s">
        <v>109</v>
      </c>
      <c r="H840" s="459">
        <f>'Process (2)'!H68</f>
        <v>1.0880495369754974</v>
      </c>
      <c r="I840" s="32" t="s">
        <v>2</v>
      </c>
      <c r="J840" s="42"/>
      <c r="K840" s="42"/>
    </row>
    <row r="841" spans="1:11" ht="18.75" customHeight="1" x14ac:dyDescent="0.25">
      <c r="A841" s="132"/>
      <c r="B841" s="42" t="s">
        <v>104</v>
      </c>
      <c r="C841" s="42"/>
      <c r="D841" s="42"/>
      <c r="E841" s="42"/>
      <c r="F841" s="42"/>
      <c r="G841" s="30" t="s">
        <v>130</v>
      </c>
      <c r="H841" s="459">
        <f>'Process (2)'!H69</f>
        <v>0.41398802635392218</v>
      </c>
      <c r="I841" s="32" t="s">
        <v>128</v>
      </c>
      <c r="J841" s="42"/>
      <c r="K841" s="42"/>
    </row>
    <row r="842" spans="1:11" ht="18.75" customHeight="1" x14ac:dyDescent="0.25">
      <c r="A842" s="132"/>
      <c r="B842" s="42" t="s">
        <v>105</v>
      </c>
      <c r="C842" s="42"/>
      <c r="D842" s="42"/>
      <c r="E842" s="42"/>
      <c r="F842" s="42"/>
      <c r="G842" s="30" t="s">
        <v>110</v>
      </c>
      <c r="H842" s="459">
        <f>'Process (2)'!H70</f>
        <v>0.38048637703086957</v>
      </c>
      <c r="I842" s="32" t="s">
        <v>129</v>
      </c>
      <c r="J842" s="42"/>
      <c r="K842" s="42"/>
    </row>
    <row r="843" spans="1:11" ht="18.75" customHeight="1" x14ac:dyDescent="0.25">
      <c r="A843" s="132"/>
      <c r="B843" s="42" t="s">
        <v>106</v>
      </c>
      <c r="C843" s="42"/>
      <c r="D843" s="42"/>
      <c r="E843" s="42"/>
      <c r="F843" s="42"/>
      <c r="G843" s="30" t="s">
        <v>111</v>
      </c>
      <c r="H843" s="459">
        <f>'Process (2)'!H71</f>
        <v>0.40909910265429483</v>
      </c>
      <c r="I843" s="32" t="s">
        <v>129</v>
      </c>
      <c r="J843" s="42"/>
      <c r="K843" s="42"/>
    </row>
    <row r="844" spans="1:11" ht="18.75" customHeight="1" x14ac:dyDescent="0.25">
      <c r="A844" s="132"/>
      <c r="B844" s="42"/>
      <c r="C844" s="42"/>
      <c r="D844" s="42"/>
      <c r="E844" s="42"/>
      <c r="F844" s="42"/>
      <c r="G844" s="42"/>
      <c r="H844" s="30"/>
      <c r="I844" s="31"/>
      <c r="J844" s="42"/>
      <c r="K844" s="42"/>
    </row>
    <row r="845" spans="1:11" ht="18.75" customHeight="1" x14ac:dyDescent="0.25">
      <c r="A845" s="132"/>
      <c r="B845" s="42"/>
      <c r="C845" s="42"/>
      <c r="D845" s="42"/>
      <c r="E845" s="42"/>
      <c r="F845" s="42"/>
      <c r="G845" s="42"/>
      <c r="H845" s="30"/>
      <c r="I845" s="31"/>
      <c r="J845" s="42"/>
      <c r="K845" s="42"/>
    </row>
    <row r="846" spans="1:11" ht="18.75" customHeight="1" x14ac:dyDescent="0.25">
      <c r="A846" s="132"/>
      <c r="B846" s="42"/>
      <c r="C846" s="42"/>
      <c r="D846" s="42"/>
      <c r="E846" s="42"/>
      <c r="F846" s="42"/>
      <c r="G846" s="42"/>
      <c r="H846" s="30"/>
      <c r="I846" s="31"/>
      <c r="J846" s="42"/>
      <c r="K846" s="42"/>
    </row>
    <row r="847" spans="1:11" ht="18.75" customHeight="1" x14ac:dyDescent="0.25">
      <c r="A847" s="132"/>
      <c r="B847" s="42"/>
      <c r="C847" s="42"/>
      <c r="D847" s="42"/>
      <c r="E847" s="42"/>
      <c r="F847" s="42"/>
      <c r="G847" s="42"/>
      <c r="H847" s="30"/>
      <c r="I847" s="31"/>
      <c r="J847" s="42"/>
      <c r="K847" s="42"/>
    </row>
    <row r="848" spans="1:11" ht="18.75" customHeight="1" x14ac:dyDescent="0.25">
      <c r="A848" s="132" t="s">
        <v>1312</v>
      </c>
      <c r="B848" s="328" t="s">
        <v>600</v>
      </c>
      <c r="C848" s="42"/>
      <c r="D848" s="42"/>
      <c r="E848" s="42"/>
      <c r="F848" s="42"/>
      <c r="G848" s="42"/>
      <c r="H848" s="30"/>
      <c r="I848" s="31"/>
      <c r="J848" s="42"/>
      <c r="K848" s="42"/>
    </row>
    <row r="849" spans="1:11" ht="18.75" customHeight="1" x14ac:dyDescent="0.25">
      <c r="A849" s="132"/>
      <c r="B849" s="42"/>
      <c r="C849" s="42"/>
      <c r="D849" s="42"/>
      <c r="E849" s="42"/>
      <c r="F849" s="42"/>
      <c r="G849" s="42"/>
      <c r="H849" s="30"/>
      <c r="I849" s="31"/>
      <c r="J849" s="42"/>
      <c r="K849" s="42"/>
    </row>
    <row r="850" spans="1:11" ht="18.75" customHeight="1" x14ac:dyDescent="0.25">
      <c r="A850" s="132"/>
      <c r="B850" s="42"/>
      <c r="C850" s="42"/>
      <c r="D850" s="42"/>
      <c r="E850" s="42"/>
      <c r="F850" s="42"/>
      <c r="G850" s="42"/>
      <c r="H850" s="30"/>
      <c r="I850" s="31"/>
      <c r="J850" s="42"/>
      <c r="K850" s="42"/>
    </row>
    <row r="851" spans="1:11" ht="18.75" customHeight="1" x14ac:dyDescent="0.25">
      <c r="A851" s="132"/>
      <c r="B851" s="42"/>
      <c r="C851" s="42"/>
      <c r="D851" s="42"/>
      <c r="E851" s="42"/>
      <c r="F851" s="42"/>
      <c r="G851" s="42"/>
      <c r="H851" s="30"/>
      <c r="I851" s="31"/>
      <c r="J851" s="42"/>
      <c r="K851" s="42"/>
    </row>
    <row r="852" spans="1:11" ht="18.75" customHeight="1" x14ac:dyDescent="0.25">
      <c r="A852" s="132"/>
      <c r="B852" s="42"/>
      <c r="C852" s="42"/>
      <c r="D852" s="42"/>
      <c r="E852" s="42"/>
      <c r="F852" s="42"/>
      <c r="G852" s="42"/>
      <c r="H852" s="30"/>
      <c r="I852" s="31"/>
      <c r="J852" s="42"/>
      <c r="K852" s="42"/>
    </row>
    <row r="853" spans="1:11" ht="18.75" customHeight="1" x14ac:dyDescent="0.25">
      <c r="A853" s="132"/>
      <c r="B853" s="42"/>
      <c r="C853" s="42"/>
      <c r="D853" s="42"/>
      <c r="E853" s="42"/>
      <c r="F853" s="42"/>
      <c r="G853" s="42"/>
      <c r="H853" s="30"/>
      <c r="I853" s="31"/>
      <c r="J853" s="42"/>
      <c r="K853" s="42"/>
    </row>
    <row r="854" spans="1:11" ht="18.75" customHeight="1" x14ac:dyDescent="0.25">
      <c r="A854" s="132"/>
      <c r="B854" s="42"/>
      <c r="C854" s="42"/>
      <c r="D854" s="42"/>
      <c r="E854" s="42"/>
      <c r="F854" s="42"/>
      <c r="G854" s="42"/>
      <c r="H854" s="30"/>
      <c r="I854" s="31"/>
      <c r="J854" s="42"/>
      <c r="K854" s="42"/>
    </row>
    <row r="855" spans="1:11" ht="18.75" customHeight="1" x14ac:dyDescent="0.25">
      <c r="A855" s="132"/>
      <c r="B855" s="42"/>
      <c r="C855" s="42"/>
      <c r="D855" s="42"/>
      <c r="E855" s="42"/>
      <c r="F855" s="42"/>
      <c r="G855" s="42"/>
      <c r="H855" s="30"/>
      <c r="I855" s="31"/>
      <c r="J855" s="42"/>
      <c r="K855" s="42"/>
    </row>
    <row r="856" spans="1:11" ht="18.75" customHeight="1" x14ac:dyDescent="0.25">
      <c r="A856" s="132"/>
      <c r="B856" s="42"/>
      <c r="C856" s="42"/>
      <c r="D856" s="42"/>
      <c r="E856" s="42"/>
      <c r="F856" s="42"/>
      <c r="G856" s="42"/>
      <c r="H856" s="30"/>
      <c r="I856" s="31"/>
      <c r="J856" s="42"/>
      <c r="K856" s="42"/>
    </row>
    <row r="857" spans="1:11" ht="18.75" customHeight="1" x14ac:dyDescent="0.25">
      <c r="A857" s="132"/>
      <c r="B857" s="42"/>
      <c r="C857" s="42"/>
      <c r="D857" s="42"/>
      <c r="E857" s="42"/>
      <c r="F857" s="42"/>
      <c r="G857" s="42"/>
      <c r="H857" s="30"/>
      <c r="I857" s="31"/>
      <c r="J857" s="42"/>
      <c r="K857" s="42"/>
    </row>
    <row r="858" spans="1:11" ht="18.75" customHeight="1" x14ac:dyDescent="0.25">
      <c r="A858" s="132"/>
      <c r="B858" s="42"/>
      <c r="C858" s="42"/>
      <c r="D858" s="42"/>
      <c r="E858" s="42"/>
      <c r="F858" s="42"/>
      <c r="G858" s="42"/>
      <c r="H858" s="30"/>
      <c r="I858" s="31"/>
      <c r="J858" s="42"/>
      <c r="K858" s="42"/>
    </row>
    <row r="859" spans="1:11" ht="18.75" customHeight="1" x14ac:dyDescent="0.25">
      <c r="A859" s="132"/>
      <c r="B859" s="42"/>
      <c r="C859" s="42"/>
      <c r="D859" s="42"/>
      <c r="E859" s="42"/>
      <c r="F859" s="42"/>
      <c r="G859" s="42"/>
      <c r="H859" s="30"/>
      <c r="I859" s="31"/>
      <c r="J859" s="42"/>
      <c r="K859" s="42"/>
    </row>
    <row r="860" spans="1:11" ht="18.75" customHeight="1" x14ac:dyDescent="0.25">
      <c r="A860" s="132"/>
      <c r="B860" s="42"/>
      <c r="C860" s="42"/>
      <c r="D860" s="42"/>
      <c r="E860" s="42"/>
      <c r="F860" s="42"/>
      <c r="G860" s="42"/>
      <c r="H860" s="30"/>
      <c r="I860" s="31"/>
      <c r="J860" s="42"/>
      <c r="K860" s="42"/>
    </row>
    <row r="861" spans="1:11" ht="18.75" customHeight="1" x14ac:dyDescent="0.25">
      <c r="A861" s="132"/>
      <c r="B861" s="42"/>
      <c r="C861" s="42"/>
      <c r="D861" s="42"/>
      <c r="E861" s="42"/>
      <c r="F861" s="42"/>
      <c r="G861" s="42"/>
      <c r="H861" s="30"/>
      <c r="I861" s="31"/>
      <c r="J861" s="42"/>
      <c r="K861" s="42"/>
    </row>
    <row r="862" spans="1:11" ht="18.75" customHeight="1" x14ac:dyDescent="0.25">
      <c r="A862" s="132"/>
      <c r="B862" s="623" t="s">
        <v>84</v>
      </c>
      <c r="C862" s="623"/>
      <c r="D862" s="624" t="s">
        <v>88</v>
      </c>
      <c r="E862" s="621" t="s">
        <v>90</v>
      </c>
      <c r="F862" s="621" t="s">
        <v>92</v>
      </c>
      <c r="G862" s="621" t="s">
        <v>94</v>
      </c>
      <c r="H862" s="621" t="s">
        <v>94</v>
      </c>
      <c r="I862" s="119"/>
      <c r="J862" s="42"/>
      <c r="K862" s="42"/>
    </row>
    <row r="863" spans="1:11" ht="18.75" customHeight="1" x14ac:dyDescent="0.25">
      <c r="A863" s="132"/>
      <c r="B863" s="467" t="s">
        <v>85</v>
      </c>
      <c r="C863" s="467" t="s">
        <v>87</v>
      </c>
      <c r="D863" s="624"/>
      <c r="E863" s="621"/>
      <c r="F863" s="621"/>
      <c r="G863" s="621"/>
      <c r="H863" s="621"/>
      <c r="I863" s="119"/>
      <c r="J863" s="42"/>
      <c r="K863" s="42"/>
    </row>
    <row r="864" spans="1:11" ht="18.75" customHeight="1" x14ac:dyDescent="0.25">
      <c r="A864" s="132"/>
      <c r="B864" s="467" t="s">
        <v>86</v>
      </c>
      <c r="C864" s="467" t="s">
        <v>60</v>
      </c>
      <c r="D864" s="460" t="s">
        <v>89</v>
      </c>
      <c r="E864" s="460" t="s">
        <v>91</v>
      </c>
      <c r="F864" s="460" t="s">
        <v>93</v>
      </c>
      <c r="G864" s="460" t="s">
        <v>97</v>
      </c>
      <c r="H864" s="460" t="s">
        <v>123</v>
      </c>
      <c r="I864" s="119"/>
      <c r="J864" s="42"/>
      <c r="K864" s="42"/>
    </row>
    <row r="865" spans="1:11" ht="18.75" customHeight="1" x14ac:dyDescent="0.25">
      <c r="A865" s="132"/>
      <c r="B865" s="467" t="s">
        <v>46</v>
      </c>
      <c r="C865" s="467" t="s">
        <v>46</v>
      </c>
      <c r="D865" s="460" t="s">
        <v>98</v>
      </c>
      <c r="E865" s="460" t="s">
        <v>46</v>
      </c>
      <c r="F865" s="460" t="s">
        <v>99</v>
      </c>
      <c r="G865" s="460" t="s">
        <v>100</v>
      </c>
      <c r="H865" s="460" t="s">
        <v>100</v>
      </c>
      <c r="I865" s="119"/>
      <c r="J865" s="42"/>
      <c r="K865" s="42"/>
    </row>
    <row r="866" spans="1:11" ht="18.75" customHeight="1" x14ac:dyDescent="0.25">
      <c r="A866" s="132"/>
      <c r="B866" s="25">
        <f>'Process (2)'!B91</f>
        <v>1.3097797297578684</v>
      </c>
      <c r="C866" s="26">
        <f>'Process (2)'!C91</f>
        <v>0.25</v>
      </c>
      <c r="D866" s="20">
        <f>'Process (2)'!D91</f>
        <v>0.3274449324394671</v>
      </c>
      <c r="E866" s="20">
        <f>'Process (2)'!E91</f>
        <v>2.2250000000000001</v>
      </c>
      <c r="F866" s="20">
        <f>'Process (2)'!F91</f>
        <v>0.72856497467781434</v>
      </c>
      <c r="G866" s="20">
        <f>'Process (2)'!G91</f>
        <v>1.6210570686581369</v>
      </c>
      <c r="H866" s="21">
        <f>'Process (2)'!H91</f>
        <v>1.7054423564555577E-3</v>
      </c>
      <c r="I866" s="119"/>
      <c r="J866" s="42"/>
      <c r="K866" s="42"/>
    </row>
    <row r="867" spans="1:11" ht="18.75" customHeight="1" x14ac:dyDescent="0.25">
      <c r="A867" s="132"/>
      <c r="B867" s="6">
        <f>'Process (2)'!B92</f>
        <v>0.64</v>
      </c>
      <c r="C867" s="6">
        <f>'Process (2)'!C92</f>
        <v>7.0000000000000007E-2</v>
      </c>
      <c r="D867" s="20">
        <f>'Process (2)'!D92</f>
        <v>4.4800000000000006E-2</v>
      </c>
      <c r="E867" s="20">
        <f>'Process (2)'!E92</f>
        <v>2.0649999999999999</v>
      </c>
      <c r="F867" s="20">
        <f>'Process (2)'!F92</f>
        <v>9.2512000000000011E-2</v>
      </c>
      <c r="G867" s="20">
        <f>'Process (2)'!G92</f>
        <v>0.19103728</v>
      </c>
      <c r="H867" s="21">
        <f>'Process (2)'!H92</f>
        <v>1.8293333333333337E-5</v>
      </c>
      <c r="I867" s="119"/>
      <c r="J867" s="42"/>
      <c r="K867" s="42"/>
    </row>
    <row r="868" spans="1:11" ht="18.75" customHeight="1" x14ac:dyDescent="0.25">
      <c r="A868" s="132"/>
      <c r="B868" s="6">
        <f>'Process (2)'!B93</f>
        <v>0.8</v>
      </c>
      <c r="C868" s="6">
        <f>'Process (2)'!C93</f>
        <v>0.13</v>
      </c>
      <c r="D868" s="20">
        <f>'Process (2)'!D93</f>
        <v>0.10400000000000001</v>
      </c>
      <c r="E868" s="20">
        <f>'Process (2)'!E93</f>
        <v>1.9650000000000001</v>
      </c>
      <c r="F868" s="20">
        <f>'Process (2)'!F93</f>
        <v>0.20436000000000001</v>
      </c>
      <c r="G868" s="20">
        <f>'Process (2)'!G93</f>
        <v>0.40156740000000007</v>
      </c>
      <c r="H868" s="21">
        <f>'Process (2)'!H93</f>
        <v>1.4646666666666669E-4</v>
      </c>
      <c r="I868" s="119"/>
      <c r="J868" s="42"/>
      <c r="K868" s="42"/>
    </row>
    <row r="869" spans="1:11" ht="18.75" customHeight="1" x14ac:dyDescent="0.25">
      <c r="A869" s="132"/>
      <c r="B869" s="6">
        <f>'Process (2)'!B94</f>
        <v>0.30000000000000004</v>
      </c>
      <c r="C869" s="6">
        <f>'Process (2)'!C94</f>
        <v>0.12</v>
      </c>
      <c r="D869" s="20">
        <f>'Process (2)'!D94</f>
        <v>3.6000000000000004E-2</v>
      </c>
      <c r="E869" s="20">
        <f>'Process (2)'!E94</f>
        <v>1.86</v>
      </c>
      <c r="F869" s="20">
        <f>'Process (2)'!F94</f>
        <v>6.6960000000000006E-2</v>
      </c>
      <c r="G869" s="20">
        <f>'Process (2)'!G94</f>
        <v>0.12454560000000003</v>
      </c>
      <c r="H869" s="21">
        <f>'Process (2)'!H94</f>
        <v>2.8800000000000005E-5</v>
      </c>
      <c r="I869" s="119"/>
      <c r="J869" s="42"/>
      <c r="K869" s="42"/>
    </row>
    <row r="870" spans="1:11" ht="18.75" customHeight="1" x14ac:dyDescent="0.25">
      <c r="A870" s="132"/>
      <c r="B870" s="6">
        <f>'Process (2)'!B95</f>
        <v>0.2</v>
      </c>
      <c r="C870" s="6">
        <f>'Process (2)'!C95</f>
        <v>1.6500000000000001</v>
      </c>
      <c r="D870" s="20">
        <f>'Process (2)'!D95</f>
        <v>0.33000000000000007</v>
      </c>
      <c r="E870" s="20">
        <f>'Process (2)'!E95</f>
        <v>1.0750000000000002</v>
      </c>
      <c r="F870" s="20">
        <f>'Process (2)'!F95</f>
        <v>0.35475000000000012</v>
      </c>
      <c r="G870" s="20">
        <f>'Process (2)'!G95</f>
        <v>0.38135625000000017</v>
      </c>
      <c r="H870" s="21">
        <f>'Process (2)'!H95</f>
        <v>7.4868750000000026E-2</v>
      </c>
      <c r="I870" s="119"/>
      <c r="J870" s="42"/>
      <c r="K870" s="42"/>
    </row>
    <row r="871" spans="1:11" ht="18.75" customHeight="1" x14ac:dyDescent="0.25">
      <c r="A871" s="132"/>
      <c r="B871" s="6">
        <f>'Process (2)'!B96</f>
        <v>0.24999999999999997</v>
      </c>
      <c r="C871" s="6">
        <f>'Process (2)'!C96</f>
        <v>0.25</v>
      </c>
      <c r="D871" s="20">
        <f>'Process (2)'!D96</f>
        <v>6.2499999999999993E-2</v>
      </c>
      <c r="E871" s="20">
        <f>'Process (2)'!E96</f>
        <v>0.33333333333333331</v>
      </c>
      <c r="F871" s="20">
        <f>'Process (2)'!F96</f>
        <v>2.0833333333333329E-2</v>
      </c>
      <c r="G871" s="20">
        <f>'Process (2)'!G96</f>
        <v>6.9444444444444432E-3</v>
      </c>
      <c r="H871" s="21">
        <f>'Process (2)'!H96</f>
        <v>2.1701388888888885E-4</v>
      </c>
      <c r="I871" s="119"/>
      <c r="J871" s="42"/>
      <c r="K871" s="42"/>
    </row>
    <row r="872" spans="1:11" ht="18.75" customHeight="1" x14ac:dyDescent="0.25">
      <c r="A872" s="132"/>
      <c r="B872" s="6">
        <f>'Process (2)'!B97</f>
        <v>0.7</v>
      </c>
      <c r="C872" s="6">
        <f>'Process (2)'!C97</f>
        <v>0.25</v>
      </c>
      <c r="D872" s="20">
        <f>'Process (2)'!D97</f>
        <v>0.17499999999999999</v>
      </c>
      <c r="E872" s="20">
        <f>'Process (2)'!E97</f>
        <v>0.125</v>
      </c>
      <c r="F872" s="20">
        <f>'Process (2)'!F97</f>
        <v>2.1874999999999999E-2</v>
      </c>
      <c r="G872" s="20">
        <f>'Process (2)'!G97</f>
        <v>2.7343749999999998E-3</v>
      </c>
      <c r="H872" s="21">
        <f>'Process (2)'!H97</f>
        <v>9.1145833333333324E-4</v>
      </c>
      <c r="I872" s="119"/>
      <c r="J872" s="42"/>
      <c r="K872" s="42"/>
    </row>
    <row r="873" spans="1:11" ht="18.75" customHeight="1" x14ac:dyDescent="0.25">
      <c r="A873" s="132"/>
      <c r="B873" s="31"/>
      <c r="C873" s="19" t="s">
        <v>96</v>
      </c>
      <c r="D873" s="23">
        <f>'Process (2)'!D98</f>
        <v>1.0797449324394672</v>
      </c>
      <c r="E873" s="31"/>
      <c r="F873" s="23">
        <f>'Process (2)'!F98</f>
        <v>1.4898553080111478</v>
      </c>
      <c r="G873" s="23">
        <f>'Process (2)'!G98</f>
        <v>2.7292424181025816</v>
      </c>
      <c r="H873" s="23">
        <f>'Process (2)'!H98</f>
        <v>7.7896224578677814E-2</v>
      </c>
      <c r="I873" s="119"/>
      <c r="J873" s="42"/>
      <c r="K873" s="42"/>
    </row>
    <row r="874" spans="1:11" ht="18.75" customHeight="1" x14ac:dyDescent="0.25">
      <c r="A874" s="132"/>
      <c r="B874" s="42"/>
      <c r="C874" s="42"/>
      <c r="D874" s="42"/>
      <c r="E874" s="42"/>
      <c r="F874" s="42"/>
      <c r="G874" s="42"/>
      <c r="H874" s="30"/>
      <c r="I874" s="31"/>
      <c r="J874" s="42"/>
      <c r="K874" s="42"/>
    </row>
    <row r="875" spans="1:11" ht="18.75" customHeight="1" x14ac:dyDescent="0.25">
      <c r="A875" s="132"/>
      <c r="B875" s="42" t="s">
        <v>113</v>
      </c>
      <c r="C875" s="42"/>
      <c r="D875" s="42"/>
      <c r="E875" s="42"/>
      <c r="F875" s="42"/>
      <c r="G875" s="30" t="s">
        <v>119</v>
      </c>
      <c r="H875" s="6">
        <f>'Process (2)'!H100</f>
        <v>2.35</v>
      </c>
      <c r="I875" s="32" t="s">
        <v>2</v>
      </c>
      <c r="J875" s="42"/>
      <c r="K875" s="42"/>
    </row>
    <row r="876" spans="1:11" ht="18.75" customHeight="1" x14ac:dyDescent="0.25">
      <c r="A876" s="132"/>
      <c r="B876" s="42" t="s">
        <v>114</v>
      </c>
      <c r="C876" s="42"/>
      <c r="D876" s="42"/>
      <c r="E876" s="42"/>
      <c r="F876" s="42"/>
      <c r="G876" s="30" t="s">
        <v>120</v>
      </c>
      <c r="H876" s="459">
        <f>'Process (2)'!H101</f>
        <v>1.0797449324394672</v>
      </c>
      <c r="I876" s="32" t="s">
        <v>127</v>
      </c>
      <c r="J876" s="42"/>
      <c r="K876" s="42"/>
    </row>
    <row r="877" spans="1:11" ht="18.75" customHeight="1" x14ac:dyDescent="0.25">
      <c r="A877" s="132"/>
      <c r="B877" s="42" t="s">
        <v>103</v>
      </c>
      <c r="C877" s="42"/>
      <c r="D877" s="42"/>
      <c r="E877" s="42"/>
      <c r="F877" s="42"/>
      <c r="G877" s="30" t="s">
        <v>121</v>
      </c>
      <c r="H877" s="459">
        <f>'Process (2)'!H102</f>
        <v>1.3798215330773709</v>
      </c>
      <c r="I877" s="32" t="s">
        <v>2</v>
      </c>
      <c r="J877" s="42"/>
      <c r="K877" s="42"/>
    </row>
    <row r="878" spans="1:11" ht="18.75" customHeight="1" x14ac:dyDescent="0.25">
      <c r="A878" s="132"/>
      <c r="B878" s="42"/>
      <c r="C878" s="42"/>
      <c r="D878" s="42"/>
      <c r="E878" s="42"/>
      <c r="F878" s="42"/>
      <c r="G878" s="30" t="s">
        <v>122</v>
      </c>
      <c r="H878" s="459">
        <f>'Process (2)'!H103</f>
        <v>0.97017846692262921</v>
      </c>
      <c r="I878" s="32" t="s">
        <v>2</v>
      </c>
      <c r="J878" s="42"/>
      <c r="K878" s="42"/>
    </row>
    <row r="879" spans="1:11" ht="18.75" customHeight="1" x14ac:dyDescent="0.25">
      <c r="A879" s="132"/>
      <c r="B879" s="42" t="s">
        <v>566</v>
      </c>
      <c r="C879" s="42"/>
      <c r="D879" s="42"/>
      <c r="E879" s="42"/>
      <c r="F879" s="42"/>
      <c r="G879" s="30" t="s">
        <v>131</v>
      </c>
      <c r="H879" s="459">
        <f>'Process (2)'!H104</f>
        <v>0.75140420751785886</v>
      </c>
      <c r="I879" s="32" t="s">
        <v>128</v>
      </c>
      <c r="J879" s="42"/>
      <c r="K879" s="42"/>
    </row>
    <row r="880" spans="1:11" ht="18.75" customHeight="1" x14ac:dyDescent="0.25">
      <c r="A880" s="132"/>
      <c r="B880" s="42" t="s">
        <v>116</v>
      </c>
      <c r="C880" s="42"/>
      <c r="D880" s="42"/>
      <c r="E880" s="42"/>
      <c r="F880" s="42"/>
      <c r="G880" s="30" t="s">
        <v>125</v>
      </c>
      <c r="H880" s="459">
        <f>'Process (2)'!H105</f>
        <v>0.77450101515990732</v>
      </c>
      <c r="I880" s="32" t="s">
        <v>129</v>
      </c>
      <c r="J880" s="42"/>
      <c r="K880" s="42"/>
    </row>
    <row r="881" spans="1:11" ht="18.75" customHeight="1" x14ac:dyDescent="0.25">
      <c r="A881" s="132"/>
      <c r="B881" s="42" t="s">
        <v>117</v>
      </c>
      <c r="C881" s="42"/>
      <c r="D881" s="42"/>
      <c r="E881" s="42"/>
      <c r="F881" s="42"/>
      <c r="G881" s="30" t="s">
        <v>126</v>
      </c>
      <c r="H881" s="459">
        <f>'Process (2)'!H106</f>
        <v>1.0433583368976016</v>
      </c>
      <c r="I881" s="32" t="s">
        <v>129</v>
      </c>
      <c r="J881" s="42"/>
      <c r="K881" s="42"/>
    </row>
    <row r="882" spans="1:11" ht="18.75" customHeight="1" x14ac:dyDescent="0.25">
      <c r="A882" s="132"/>
      <c r="B882" s="42" t="s">
        <v>118</v>
      </c>
      <c r="C882" s="42"/>
      <c r="D882" s="42"/>
      <c r="E882" s="42"/>
      <c r="F882" s="42"/>
      <c r="G882" s="30" t="s">
        <v>124</v>
      </c>
      <c r="H882" s="459">
        <f>'Process (2)'!H107</f>
        <v>0.54456622795415188</v>
      </c>
      <c r="I882" s="32" t="s">
        <v>129</v>
      </c>
      <c r="J882" s="42"/>
      <c r="K882" s="42"/>
    </row>
    <row r="883" spans="1:11" ht="18.75" customHeight="1" x14ac:dyDescent="0.25">
      <c r="A883" s="132"/>
      <c r="B883" s="42"/>
      <c r="C883" s="42"/>
      <c r="D883" s="42"/>
      <c r="E883" s="42"/>
      <c r="F883" s="42"/>
      <c r="G883" s="30"/>
      <c r="H883" s="330"/>
      <c r="I883" s="119"/>
      <c r="J883" s="42"/>
      <c r="K883" s="42"/>
    </row>
    <row r="884" spans="1:11" ht="18.75" customHeight="1" x14ac:dyDescent="0.25">
      <c r="A884" s="132"/>
      <c r="B884" s="42"/>
      <c r="C884" s="42"/>
      <c r="D884" s="42"/>
      <c r="E884" s="42"/>
      <c r="F884" s="42"/>
      <c r="G884" s="42"/>
      <c r="H884" s="30"/>
      <c r="I884" s="330"/>
      <c r="J884" s="42"/>
      <c r="K884" s="42"/>
    </row>
    <row r="885" spans="1:11" ht="18.75" customHeight="1" x14ac:dyDescent="0.25">
      <c r="A885" s="132" t="s">
        <v>1313</v>
      </c>
      <c r="B885" s="332" t="s">
        <v>601</v>
      </c>
      <c r="C885" s="42"/>
      <c r="D885" s="42"/>
      <c r="E885" s="42"/>
      <c r="F885" s="42"/>
      <c r="G885" s="42"/>
      <c r="H885" s="30"/>
      <c r="I885" s="31"/>
      <c r="J885" s="42"/>
      <c r="K885" s="42"/>
    </row>
    <row r="886" spans="1:11" ht="18.75" customHeight="1" x14ac:dyDescent="0.25">
      <c r="A886" s="132"/>
      <c r="B886" s="332"/>
      <c r="C886" s="42"/>
      <c r="D886" s="42"/>
      <c r="E886" s="42"/>
      <c r="F886" s="42"/>
      <c r="G886" s="42"/>
      <c r="H886" s="30"/>
      <c r="I886" s="31"/>
      <c r="J886" s="42"/>
      <c r="K886" s="42"/>
    </row>
    <row r="887" spans="1:11" ht="18.75" customHeight="1" x14ac:dyDescent="0.25">
      <c r="A887" s="132"/>
      <c r="B887" s="332"/>
      <c r="C887" s="42"/>
      <c r="D887" s="42"/>
      <c r="E887" s="42"/>
      <c r="F887" s="42"/>
      <c r="G887" s="42"/>
      <c r="H887" s="30"/>
      <c r="I887" s="31"/>
      <c r="J887" s="42"/>
      <c r="K887" s="42"/>
    </row>
    <row r="888" spans="1:11" ht="18.75" customHeight="1" x14ac:dyDescent="0.25">
      <c r="A888" s="132"/>
      <c r="B888" s="255"/>
      <c r="C888" s="89"/>
      <c r="D888" s="89"/>
      <c r="E888" s="89"/>
      <c r="F888" s="89"/>
      <c r="G888" s="89"/>
      <c r="H888" s="253"/>
      <c r="I888" s="128"/>
      <c r="J888" s="42"/>
      <c r="K888" s="42"/>
    </row>
    <row r="889" spans="1:11" ht="18.75" customHeight="1" x14ac:dyDescent="0.25">
      <c r="A889" s="132"/>
      <c r="B889" s="255"/>
      <c r="C889" s="89"/>
      <c r="D889" s="89"/>
      <c r="E889" s="89"/>
      <c r="F889" s="89"/>
      <c r="G889" s="89"/>
      <c r="H889" s="253"/>
      <c r="I889" s="128"/>
      <c r="J889" s="42"/>
      <c r="K889" s="42"/>
    </row>
    <row r="890" spans="1:11" ht="18.75" customHeight="1" x14ac:dyDescent="0.25">
      <c r="A890" s="132"/>
      <c r="B890" s="255"/>
      <c r="C890" s="89"/>
      <c r="D890" s="89"/>
      <c r="E890" s="89"/>
      <c r="F890" s="89"/>
      <c r="G890" s="89"/>
      <c r="H890" s="253"/>
      <c r="I890" s="128"/>
      <c r="J890" s="42"/>
      <c r="K890" s="42"/>
    </row>
    <row r="891" spans="1:11" ht="18.75" customHeight="1" x14ac:dyDescent="0.25">
      <c r="A891" s="132"/>
      <c r="B891" s="255"/>
      <c r="C891" s="89"/>
      <c r="D891" s="89"/>
      <c r="E891" s="89"/>
      <c r="F891" s="89"/>
      <c r="G891" s="89"/>
      <c r="H891" s="253"/>
      <c r="I891" s="128"/>
      <c r="J891" s="42"/>
      <c r="K891" s="42"/>
    </row>
    <row r="892" spans="1:11" ht="18.75" customHeight="1" x14ac:dyDescent="0.25">
      <c r="A892" s="132"/>
      <c r="B892" s="255"/>
      <c r="C892" s="89"/>
      <c r="D892" s="89"/>
      <c r="E892" s="89"/>
      <c r="F892" s="89"/>
      <c r="G892" s="89"/>
      <c r="H892" s="253"/>
      <c r="I892" s="128"/>
      <c r="J892" s="42"/>
      <c r="K892" s="42"/>
    </row>
    <row r="893" spans="1:11" ht="18.75" customHeight="1" x14ac:dyDescent="0.25">
      <c r="A893" s="132"/>
      <c r="B893" s="255"/>
      <c r="C893" s="89"/>
      <c r="D893" s="89"/>
      <c r="E893" s="89"/>
      <c r="F893" s="89"/>
      <c r="G893" s="89"/>
      <c r="H893" s="253"/>
      <c r="I893" s="128"/>
      <c r="J893" s="42"/>
      <c r="K893" s="42"/>
    </row>
    <row r="894" spans="1:11" ht="18.75" customHeight="1" x14ac:dyDescent="0.25">
      <c r="A894" s="132"/>
      <c r="B894" s="368" t="s">
        <v>982</v>
      </c>
      <c r="C894" s="8"/>
      <c r="D894" s="89"/>
      <c r="E894" s="89"/>
      <c r="F894" s="89"/>
      <c r="G894" s="89"/>
      <c r="H894" s="253"/>
      <c r="I894" s="128"/>
      <c r="J894" s="42"/>
      <c r="K894" s="42"/>
    </row>
    <row r="895" spans="1:11" ht="18.75" customHeight="1" x14ac:dyDescent="0.25">
      <c r="A895" s="132"/>
      <c r="B895" s="368"/>
      <c r="C895" s="8"/>
      <c r="D895" s="89"/>
      <c r="E895" s="89"/>
      <c r="F895" s="89"/>
      <c r="G895" s="89"/>
      <c r="H895" s="253"/>
      <c r="I895" s="128"/>
      <c r="J895" s="42"/>
      <c r="K895" s="42"/>
    </row>
    <row r="896" spans="1:11" ht="18.75" customHeight="1" x14ac:dyDescent="0.25">
      <c r="A896" s="132"/>
      <c r="B896" s="368"/>
      <c r="C896" s="8"/>
      <c r="D896" s="89"/>
      <c r="E896" s="89"/>
      <c r="F896" s="89"/>
      <c r="G896" s="89"/>
      <c r="H896" s="253"/>
      <c r="I896" s="128"/>
      <c r="J896" s="42"/>
      <c r="K896" s="42"/>
    </row>
    <row r="897" spans="1:11" ht="18.75" customHeight="1" x14ac:dyDescent="0.25">
      <c r="A897" s="132"/>
      <c r="B897" s="368"/>
      <c r="C897" s="8"/>
      <c r="D897" s="89"/>
      <c r="E897" s="89"/>
      <c r="F897" s="89"/>
      <c r="G897" s="89"/>
      <c r="H897" s="253"/>
      <c r="I897" s="128"/>
      <c r="J897" s="42"/>
      <c r="K897" s="42"/>
    </row>
    <row r="898" spans="1:11" ht="18.75" customHeight="1" x14ac:dyDescent="0.25">
      <c r="A898" s="132"/>
      <c r="B898" s="368"/>
      <c r="C898" s="8"/>
      <c r="D898" s="89"/>
      <c r="E898" s="89"/>
      <c r="F898" s="89"/>
      <c r="G898" s="89"/>
      <c r="H898" s="253"/>
      <c r="I898" s="128"/>
      <c r="J898" s="42"/>
      <c r="K898" s="42"/>
    </row>
    <row r="899" spans="1:11" ht="18.75" customHeight="1" x14ac:dyDescent="0.25">
      <c r="A899" s="132"/>
      <c r="B899" s="368"/>
      <c r="C899" s="8"/>
      <c r="D899" s="89"/>
      <c r="E899" s="89"/>
      <c r="F899" s="89"/>
      <c r="G899" s="89"/>
      <c r="H899" s="253"/>
      <c r="I899" s="128"/>
      <c r="J899" s="42"/>
      <c r="K899" s="42"/>
    </row>
    <row r="900" spans="1:11" ht="18.75" customHeight="1" x14ac:dyDescent="0.25">
      <c r="A900" s="132"/>
      <c r="B900" s="368"/>
      <c r="C900" s="8"/>
      <c r="D900" s="89"/>
      <c r="E900" s="89"/>
      <c r="F900" s="89"/>
      <c r="G900" s="89"/>
      <c r="H900" s="253"/>
      <c r="I900" s="128"/>
      <c r="J900" s="42"/>
      <c r="K900" s="42"/>
    </row>
    <row r="901" spans="1:11" ht="18.75" customHeight="1" x14ac:dyDescent="0.25">
      <c r="A901" s="132"/>
      <c r="B901" s="368"/>
      <c r="C901" s="8"/>
      <c r="D901" s="89"/>
      <c r="E901" s="89"/>
      <c r="F901" s="89"/>
      <c r="G901" s="89"/>
      <c r="H901" s="253"/>
      <c r="I901" s="128"/>
      <c r="J901" s="42"/>
      <c r="K901" s="42"/>
    </row>
    <row r="902" spans="1:11" ht="18.75" customHeight="1" x14ac:dyDescent="0.25">
      <c r="A902" s="132"/>
      <c r="B902" s="368"/>
      <c r="C902" s="8"/>
      <c r="D902" s="89"/>
      <c r="E902" s="89"/>
      <c r="F902" s="89"/>
      <c r="G902" s="89"/>
      <c r="H902" s="253"/>
      <c r="I902" s="128"/>
      <c r="J902" s="42"/>
      <c r="K902" s="42"/>
    </row>
    <row r="903" spans="1:11" ht="18.75" customHeight="1" x14ac:dyDescent="0.25">
      <c r="A903" s="132"/>
      <c r="B903" s="368"/>
      <c r="C903" s="8"/>
      <c r="D903" s="89"/>
      <c r="E903" s="89"/>
      <c r="F903" s="89"/>
      <c r="G903" s="89"/>
      <c r="H903" s="253"/>
      <c r="I903" s="128"/>
      <c r="J903" s="42"/>
      <c r="K903" s="42"/>
    </row>
    <row r="904" spans="1:11" ht="18.75" customHeight="1" x14ac:dyDescent="0.25">
      <c r="A904" s="132"/>
      <c r="B904" s="368"/>
      <c r="C904" s="8"/>
      <c r="D904" s="89"/>
      <c r="E904" s="89"/>
      <c r="F904" s="89"/>
      <c r="G904" s="89"/>
      <c r="H904" s="253"/>
      <c r="I904" s="128"/>
      <c r="J904" s="42"/>
      <c r="K904" s="42"/>
    </row>
    <row r="905" spans="1:11" ht="18.75" customHeight="1" x14ac:dyDescent="0.25">
      <c r="A905" s="132"/>
      <c r="B905" s="368"/>
      <c r="C905" s="8"/>
      <c r="D905" s="89"/>
      <c r="E905" s="89"/>
      <c r="F905" s="89"/>
      <c r="G905" s="89"/>
      <c r="H905" s="253"/>
      <c r="I905" s="128"/>
      <c r="J905" s="42"/>
      <c r="K905" s="42"/>
    </row>
    <row r="906" spans="1:11" ht="18.75" customHeight="1" x14ac:dyDescent="0.25">
      <c r="A906" s="132"/>
      <c r="B906" s="368"/>
      <c r="C906" s="8"/>
      <c r="D906" s="89"/>
      <c r="E906" s="89"/>
      <c r="F906" s="89"/>
      <c r="G906" s="89"/>
      <c r="H906" s="253"/>
      <c r="I906" s="128"/>
      <c r="J906" s="42"/>
      <c r="K906" s="42"/>
    </row>
    <row r="907" spans="1:11" ht="18.75" customHeight="1" x14ac:dyDescent="0.25">
      <c r="A907" s="132"/>
      <c r="B907" s="368"/>
      <c r="C907" s="8"/>
      <c r="D907" s="89"/>
      <c r="E907" s="89"/>
      <c r="F907" s="89"/>
      <c r="G907" s="89"/>
      <c r="H907" s="253"/>
      <c r="I907" s="128"/>
      <c r="J907" s="42"/>
      <c r="K907" s="42"/>
    </row>
    <row r="908" spans="1:11" ht="18.75" customHeight="1" x14ac:dyDescent="0.25">
      <c r="A908" s="132"/>
      <c r="B908" s="368"/>
      <c r="C908" s="8"/>
      <c r="D908" s="89"/>
      <c r="E908" s="89"/>
      <c r="F908" s="89"/>
      <c r="G908" s="89"/>
      <c r="H908" s="253"/>
      <c r="I908" s="128"/>
      <c r="J908" s="42"/>
      <c r="K908" s="42"/>
    </row>
    <row r="909" spans="1:11" ht="18.75" customHeight="1" x14ac:dyDescent="0.25">
      <c r="A909" s="132"/>
      <c r="B909" s="368"/>
      <c r="C909" s="8"/>
      <c r="D909" s="89"/>
      <c r="E909" s="89"/>
      <c r="F909" s="89"/>
      <c r="G909" s="89"/>
      <c r="H909" s="253"/>
      <c r="I909" s="128"/>
      <c r="J909" s="42"/>
      <c r="K909" s="42"/>
    </row>
    <row r="910" spans="1:11" ht="18.75" customHeight="1" x14ac:dyDescent="0.25">
      <c r="A910" s="132"/>
      <c r="B910" s="368"/>
      <c r="C910" s="8"/>
      <c r="D910" s="89"/>
      <c r="E910" s="89"/>
      <c r="F910" s="89"/>
      <c r="G910" s="89"/>
      <c r="H910" s="253"/>
      <c r="I910" s="128"/>
      <c r="J910" s="42"/>
      <c r="K910" s="42"/>
    </row>
    <row r="911" spans="1:11" ht="18.75" customHeight="1" x14ac:dyDescent="0.25">
      <c r="A911" s="132"/>
      <c r="B911" s="368"/>
      <c r="C911" s="8"/>
      <c r="D911" s="89"/>
      <c r="E911" s="89"/>
      <c r="F911" s="89"/>
      <c r="G911" s="89"/>
      <c r="H911" s="253"/>
      <c r="I911" s="128"/>
      <c r="J911" s="42"/>
      <c r="K911" s="42"/>
    </row>
    <row r="912" spans="1:11" ht="18.75" customHeight="1" x14ac:dyDescent="0.25">
      <c r="A912" s="132"/>
      <c r="B912" s="368"/>
      <c r="C912" s="8"/>
      <c r="D912" s="89"/>
      <c r="E912" s="89"/>
      <c r="F912" s="89"/>
      <c r="G912" s="89"/>
      <c r="H912" s="253"/>
      <c r="I912" s="128"/>
      <c r="J912" s="42"/>
      <c r="K912" s="42"/>
    </row>
    <row r="913" spans="1:11" ht="18.75" customHeight="1" x14ac:dyDescent="0.25">
      <c r="A913" s="132"/>
      <c r="B913" s="368"/>
      <c r="C913" s="8"/>
      <c r="D913" s="89"/>
      <c r="E913" s="89"/>
      <c r="F913" s="89"/>
      <c r="G913" s="89"/>
      <c r="H913" s="253"/>
      <c r="I913" s="128"/>
      <c r="J913" s="42"/>
      <c r="K913" s="42"/>
    </row>
    <row r="914" spans="1:11" ht="18.75" customHeight="1" x14ac:dyDescent="0.25">
      <c r="A914" s="132"/>
      <c r="B914" s="255" t="s">
        <v>139</v>
      </c>
      <c r="C914" s="255"/>
      <c r="D914" s="255"/>
      <c r="E914" s="255"/>
      <c r="F914" s="255"/>
      <c r="G914" s="251" t="s">
        <v>146</v>
      </c>
      <c r="H914" s="26">
        <f>'Process (2)'!H140</f>
        <v>3611.0400000000013</v>
      </c>
      <c r="I914" s="501" t="s">
        <v>42</v>
      </c>
      <c r="J914" s="42"/>
      <c r="K914" s="42"/>
    </row>
    <row r="915" spans="1:11" ht="18.75" customHeight="1" x14ac:dyDescent="0.25">
      <c r="A915" s="132"/>
      <c r="B915" s="247" t="s">
        <v>137</v>
      </c>
      <c r="C915" s="247"/>
      <c r="D915" s="247"/>
      <c r="E915" s="247"/>
      <c r="F915" s="247"/>
      <c r="G915" s="57" t="s">
        <v>43</v>
      </c>
      <c r="H915" s="73">
        <f>'Process (2)'!H141</f>
        <v>50000</v>
      </c>
      <c r="I915" s="259" t="s">
        <v>135</v>
      </c>
      <c r="J915" s="42"/>
      <c r="K915" s="42"/>
    </row>
    <row r="916" spans="1:11" ht="18.75" customHeight="1" x14ac:dyDescent="0.25">
      <c r="A916" s="132"/>
      <c r="B916" s="247" t="s">
        <v>134</v>
      </c>
      <c r="C916" s="247"/>
      <c r="D916" s="247"/>
      <c r="E916" s="247"/>
      <c r="F916" s="247"/>
      <c r="G916" s="57" t="s">
        <v>147</v>
      </c>
      <c r="H916" s="73">
        <f>'Process (2)'!H142</f>
        <v>40000</v>
      </c>
      <c r="I916" s="259" t="s">
        <v>135</v>
      </c>
      <c r="J916" s="42"/>
      <c r="K916" s="42"/>
    </row>
    <row r="917" spans="1:11" ht="18.75" customHeight="1" x14ac:dyDescent="0.25">
      <c r="A917" s="132"/>
      <c r="B917" s="247" t="s">
        <v>102</v>
      </c>
      <c r="C917" s="247"/>
      <c r="D917" s="247"/>
      <c r="E917" s="247"/>
      <c r="F917" s="247"/>
      <c r="G917" s="57" t="s">
        <v>108</v>
      </c>
      <c r="H917" s="69">
        <f>'Process (2)'!H143</f>
        <v>0.75230000000000019</v>
      </c>
      <c r="I917" s="259" t="s">
        <v>127</v>
      </c>
      <c r="J917" s="42"/>
      <c r="K917" s="42"/>
    </row>
    <row r="918" spans="1:11" ht="18.75" customHeight="1" x14ac:dyDescent="0.25">
      <c r="A918" s="132"/>
      <c r="B918" s="247" t="s">
        <v>103</v>
      </c>
      <c r="C918" s="247"/>
      <c r="D918" s="247"/>
      <c r="E918" s="247"/>
      <c r="F918" s="247"/>
      <c r="G918" s="57" t="s">
        <v>150</v>
      </c>
      <c r="H918" s="81">
        <f>'Process (2)'!H144</f>
        <v>1.0119504630245026</v>
      </c>
      <c r="I918" s="259" t="s">
        <v>2</v>
      </c>
      <c r="J918" s="42"/>
      <c r="K918" s="42"/>
    </row>
    <row r="919" spans="1:11" ht="18.75" customHeight="1" x14ac:dyDescent="0.25">
      <c r="A919" s="132"/>
      <c r="B919" s="247" t="s">
        <v>105</v>
      </c>
      <c r="C919" s="247"/>
      <c r="D919" s="247"/>
      <c r="E919" s="247"/>
      <c r="F919" s="247"/>
      <c r="G919" s="57" t="s">
        <v>35</v>
      </c>
      <c r="H919" s="69">
        <f>'Process (2)'!H145</f>
        <v>0.38048637703086957</v>
      </c>
      <c r="I919" s="259" t="s">
        <v>129</v>
      </c>
      <c r="J919" s="42"/>
      <c r="K919" s="42"/>
    </row>
    <row r="920" spans="1:11" ht="18.75" customHeight="1" x14ac:dyDescent="0.25">
      <c r="A920" s="132"/>
      <c r="B920" s="247" t="s">
        <v>106</v>
      </c>
      <c r="C920" s="247"/>
      <c r="D920" s="247"/>
      <c r="E920" s="247"/>
      <c r="F920" s="247"/>
      <c r="G920" s="57" t="s">
        <v>136</v>
      </c>
      <c r="H920" s="69">
        <f>'Process (2)'!H146</f>
        <v>0.40909910265429483</v>
      </c>
      <c r="I920" s="259" t="s">
        <v>129</v>
      </c>
      <c r="J920" s="42"/>
      <c r="K920" s="42"/>
    </row>
    <row r="921" spans="1:11" ht="18.75" customHeight="1" x14ac:dyDescent="0.25">
      <c r="A921" s="132"/>
      <c r="B921" s="247" t="s">
        <v>192</v>
      </c>
      <c r="C921" s="247"/>
      <c r="D921" s="247"/>
      <c r="E921" s="247"/>
      <c r="F921" s="247"/>
      <c r="G921" s="57" t="s">
        <v>148</v>
      </c>
      <c r="H921" s="109">
        <f>'Process (2)'!H147</f>
        <v>0.2</v>
      </c>
      <c r="I921" s="259" t="s">
        <v>2</v>
      </c>
      <c r="J921" s="42"/>
      <c r="K921" s="42"/>
    </row>
    <row r="922" spans="1:11" ht="18.75" customHeight="1" x14ac:dyDescent="0.25">
      <c r="A922" s="132"/>
      <c r="B922" s="42" t="s">
        <v>138</v>
      </c>
      <c r="C922" s="42"/>
      <c r="D922" s="42"/>
      <c r="E922" s="42"/>
      <c r="F922" s="42"/>
      <c r="G922" s="30" t="s">
        <v>149</v>
      </c>
      <c r="H922" s="459">
        <f>'Process (2)'!H148</f>
        <v>0.81195046302450269</v>
      </c>
      <c r="I922" s="32" t="s">
        <v>2</v>
      </c>
      <c r="J922" s="42"/>
      <c r="K922" s="42"/>
    </row>
    <row r="923" spans="1:11" ht="18.75" customHeight="1" x14ac:dyDescent="0.25">
      <c r="A923" s="132"/>
      <c r="B923" s="42" t="s">
        <v>140</v>
      </c>
      <c r="C923" s="42"/>
      <c r="D923" s="42"/>
      <c r="E923" s="42"/>
      <c r="F923" s="42"/>
      <c r="G923" s="42"/>
      <c r="H923" s="30"/>
      <c r="I923" s="31"/>
      <c r="J923" s="42"/>
      <c r="K923" s="42"/>
    </row>
    <row r="924" spans="1:11" ht="18.75" customHeight="1" x14ac:dyDescent="0.25">
      <c r="A924" s="132"/>
      <c r="B924" s="34" t="s">
        <v>141</v>
      </c>
      <c r="C924" s="42"/>
      <c r="D924" s="42"/>
      <c r="E924" s="42" t="s">
        <v>151</v>
      </c>
      <c r="F924" s="42"/>
      <c r="G924" s="42"/>
      <c r="H924" s="31" t="s">
        <v>536</v>
      </c>
      <c r="I924" s="119"/>
      <c r="J924" s="42"/>
      <c r="K924" s="42"/>
    </row>
    <row r="925" spans="1:11" ht="18.75" customHeight="1" x14ac:dyDescent="0.25">
      <c r="A925" s="132"/>
      <c r="B925" s="34" t="s">
        <v>142</v>
      </c>
      <c r="C925" s="42"/>
      <c r="D925" s="42"/>
      <c r="E925" s="333" t="s">
        <v>153</v>
      </c>
      <c r="F925" s="42"/>
      <c r="G925" s="42"/>
      <c r="H925" s="31" t="s">
        <v>537</v>
      </c>
      <c r="I925" s="119"/>
      <c r="J925" s="42"/>
      <c r="K925" s="42"/>
    </row>
    <row r="926" spans="1:11" ht="18.75" customHeight="1" x14ac:dyDescent="0.25">
      <c r="A926" s="132"/>
      <c r="B926" s="42" t="s">
        <v>143</v>
      </c>
      <c r="C926" s="42"/>
      <c r="D926" s="42"/>
      <c r="E926" s="42"/>
      <c r="F926" s="42"/>
      <c r="G926" s="42"/>
      <c r="H926" s="30"/>
      <c r="I926" s="31"/>
      <c r="J926" s="42"/>
      <c r="K926" s="42"/>
    </row>
    <row r="927" spans="1:11" ht="18.75" customHeight="1" x14ac:dyDescent="0.25">
      <c r="A927" s="132"/>
      <c r="B927" s="34" t="s">
        <v>144</v>
      </c>
      <c r="C927" s="42"/>
      <c r="D927" s="42"/>
      <c r="E927" s="42"/>
      <c r="F927" s="42"/>
      <c r="G927" s="30" t="s">
        <v>152</v>
      </c>
      <c r="H927" s="459">
        <f>'Process (2)'!H153</f>
        <v>11793.603946060826</v>
      </c>
      <c r="I927" s="32" t="s">
        <v>135</v>
      </c>
      <c r="J927" s="42"/>
      <c r="K927" s="42"/>
    </row>
    <row r="928" spans="1:11" ht="18.75" customHeight="1" x14ac:dyDescent="0.25">
      <c r="A928" s="132"/>
      <c r="B928" s="34" t="s">
        <v>145</v>
      </c>
      <c r="C928" s="42"/>
      <c r="D928" s="42"/>
      <c r="E928" s="42"/>
      <c r="F928" s="42"/>
      <c r="G928" s="30" t="s">
        <v>154</v>
      </c>
      <c r="H928" s="459">
        <f>'Process (2)'!H154</f>
        <v>9905.5396910481722</v>
      </c>
      <c r="I928" s="32" t="s">
        <v>135</v>
      </c>
      <c r="J928" s="42"/>
      <c r="K928" s="42"/>
    </row>
    <row r="929" spans="1:11" ht="18.75" customHeight="1" x14ac:dyDescent="0.25">
      <c r="A929" s="132"/>
      <c r="B929" s="42" t="s">
        <v>398</v>
      </c>
      <c r="C929" s="42"/>
      <c r="D929" s="42"/>
      <c r="E929" s="42"/>
      <c r="F929" s="42"/>
      <c r="G929" s="30" t="s">
        <v>155</v>
      </c>
      <c r="H929" s="459">
        <f>'Process (2)'!H155</f>
        <v>9905.5396910481722</v>
      </c>
      <c r="I929" s="32" t="s">
        <v>135</v>
      </c>
      <c r="J929" s="42"/>
      <c r="K929" s="42"/>
    </row>
    <row r="930" spans="1:11" ht="18.75" customHeight="1" x14ac:dyDescent="0.25">
      <c r="A930" s="132"/>
      <c r="B930" s="42"/>
      <c r="C930" s="42"/>
      <c r="D930" s="42"/>
      <c r="E930" s="42"/>
      <c r="F930" s="42"/>
      <c r="G930" s="30"/>
      <c r="H930" s="237"/>
      <c r="I930" s="119"/>
      <c r="J930" s="42"/>
      <c r="K930" s="42"/>
    </row>
    <row r="931" spans="1:11" ht="18.75" customHeight="1" x14ac:dyDescent="0.25">
      <c r="A931" s="132" t="s">
        <v>1314</v>
      </c>
      <c r="B931" s="332" t="s">
        <v>602</v>
      </c>
      <c r="C931" s="247"/>
      <c r="D931" s="247"/>
      <c r="E931" s="247"/>
      <c r="F931" s="247"/>
      <c r="G931" s="57"/>
      <c r="H931" s="252"/>
      <c r="I931" s="508"/>
      <c r="J931" s="42"/>
      <c r="K931" s="42"/>
    </row>
    <row r="932" spans="1:11" ht="18.75" customHeight="1" x14ac:dyDescent="0.25">
      <c r="A932" s="532"/>
      <c r="B932" s="335" t="s">
        <v>263</v>
      </c>
      <c r="C932" s="335"/>
      <c r="D932" s="335"/>
      <c r="E932" s="335"/>
      <c r="F932" s="335"/>
      <c r="G932" s="336" t="s">
        <v>582</v>
      </c>
      <c r="H932" s="77">
        <f>'Process (2)'!H158</f>
        <v>98.7</v>
      </c>
      <c r="I932" s="507" t="s">
        <v>584</v>
      </c>
      <c r="J932" s="42"/>
      <c r="K932" s="42"/>
    </row>
    <row r="933" spans="1:11" ht="18.75" customHeight="1" x14ac:dyDescent="0.25">
      <c r="A933" s="132"/>
      <c r="B933" s="247" t="s">
        <v>156</v>
      </c>
      <c r="C933" s="247"/>
      <c r="D933" s="247"/>
      <c r="E933" s="247"/>
      <c r="F933" s="247"/>
      <c r="G933" s="57" t="s">
        <v>159</v>
      </c>
      <c r="H933" s="77">
        <f>'Process (2)'!H159</f>
        <v>183.58199999999999</v>
      </c>
      <c r="I933" s="259" t="s">
        <v>40</v>
      </c>
      <c r="J933" s="42"/>
      <c r="K933" s="42"/>
    </row>
    <row r="934" spans="1:11" ht="18.75" customHeight="1" x14ac:dyDescent="0.25">
      <c r="A934" s="132"/>
      <c r="B934" s="247" t="s">
        <v>158</v>
      </c>
      <c r="C934" s="247"/>
      <c r="D934" s="247"/>
      <c r="E934" s="247"/>
      <c r="F934" s="247"/>
      <c r="G934" s="57" t="s">
        <v>940</v>
      </c>
      <c r="H934" s="203">
        <f>'Process (2)'!H160</f>
        <v>68</v>
      </c>
      <c r="I934" s="259" t="s">
        <v>160</v>
      </c>
      <c r="J934" s="42"/>
      <c r="K934" s="42"/>
    </row>
    <row r="935" spans="1:11" ht="18.75" customHeight="1" x14ac:dyDescent="0.25">
      <c r="A935" s="132"/>
      <c r="B935" s="247"/>
      <c r="C935" s="247"/>
      <c r="D935" s="247"/>
      <c r="E935" s="247"/>
      <c r="F935" s="247"/>
      <c r="G935" s="57" t="s">
        <v>952</v>
      </c>
      <c r="H935" s="203">
        <f>'Process (2)'!H161</f>
        <v>68</v>
      </c>
      <c r="I935" s="259" t="s">
        <v>160</v>
      </c>
      <c r="J935" s="42"/>
      <c r="K935" s="42"/>
    </row>
    <row r="936" spans="1:11" ht="18.75" customHeight="1" x14ac:dyDescent="0.25">
      <c r="A936" s="132"/>
      <c r="B936" s="247" t="s">
        <v>161</v>
      </c>
      <c r="C936" s="247"/>
      <c r="D936" s="247"/>
      <c r="E936" s="247"/>
      <c r="F936" s="247"/>
      <c r="G936" s="57" t="s">
        <v>162</v>
      </c>
      <c r="H936" s="82">
        <f>'Process (2)'!H162</f>
        <v>68</v>
      </c>
      <c r="I936" s="259" t="s">
        <v>160</v>
      </c>
      <c r="J936" s="42"/>
      <c r="K936" s="42"/>
    </row>
    <row r="937" spans="1:11" ht="18.75" customHeight="1" x14ac:dyDescent="0.25">
      <c r="A937" s="132"/>
      <c r="B937" s="247"/>
      <c r="C937" s="247"/>
      <c r="D937" s="247"/>
      <c r="E937" s="247"/>
      <c r="F937" s="247"/>
      <c r="G937" s="57"/>
      <c r="H937" s="115"/>
      <c r="I937" s="508"/>
      <c r="J937" s="42"/>
      <c r="K937" s="42"/>
    </row>
    <row r="938" spans="1:11" ht="18.75" customHeight="1" x14ac:dyDescent="0.25">
      <c r="A938" s="132"/>
      <c r="B938" s="247" t="s">
        <v>163</v>
      </c>
      <c r="C938" s="247"/>
      <c r="D938" s="247"/>
      <c r="E938" s="247"/>
      <c r="F938" s="247"/>
      <c r="G938" s="42"/>
      <c r="H938" s="42"/>
      <c r="I938" s="119"/>
      <c r="J938" s="42"/>
      <c r="K938" s="42"/>
    </row>
    <row r="939" spans="1:11" ht="18.75" customHeight="1" x14ac:dyDescent="0.25">
      <c r="A939" s="132"/>
      <c r="B939" s="247"/>
      <c r="C939" s="247"/>
      <c r="D939" s="247"/>
      <c r="E939" s="247"/>
      <c r="F939" s="247"/>
      <c r="G939" s="57" t="s">
        <v>399</v>
      </c>
      <c r="H939" s="84">
        <f>'Process (2)'!H165</f>
        <v>0.79348575208323102</v>
      </c>
      <c r="I939" s="508"/>
      <c r="J939" s="42"/>
      <c r="K939" s="42"/>
    </row>
    <row r="940" spans="1:11" ht="18.75" customHeight="1" x14ac:dyDescent="0.25">
      <c r="A940" s="132"/>
      <c r="B940" s="247" t="s">
        <v>164</v>
      </c>
      <c r="C940" s="247"/>
      <c r="D940" s="247"/>
      <c r="E940" s="247"/>
      <c r="F940" s="255"/>
      <c r="G940" s="251" t="s">
        <v>375</v>
      </c>
      <c r="H940" s="26">
        <f>'Process (2)'!H166</f>
        <v>9905.5396910481722</v>
      </c>
      <c r="I940" s="501" t="s">
        <v>40</v>
      </c>
      <c r="J940" s="42"/>
      <c r="K940" s="42"/>
    </row>
    <row r="941" spans="1:11" ht="18.75" customHeight="1" x14ac:dyDescent="0.25">
      <c r="A941" s="132"/>
      <c r="B941" s="247" t="s">
        <v>538</v>
      </c>
      <c r="C941" s="247"/>
      <c r="D941" s="247"/>
      <c r="E941" s="247"/>
      <c r="F941" s="255"/>
      <c r="J941" s="42"/>
      <c r="K941" s="42"/>
    </row>
    <row r="942" spans="1:11" ht="18.75" customHeight="1" x14ac:dyDescent="0.25">
      <c r="A942" s="132"/>
      <c r="B942" s="247"/>
      <c r="C942" s="247"/>
      <c r="D942" s="247"/>
      <c r="E942" s="247"/>
      <c r="F942" s="255"/>
      <c r="G942" s="251" t="s">
        <v>623</v>
      </c>
      <c r="H942" s="25">
        <f>'Process (2)'!H167</f>
        <v>-0.10811217397947465</v>
      </c>
      <c r="I942" s="501" t="s">
        <v>2</v>
      </c>
      <c r="J942" s="42"/>
      <c r="K942" s="42"/>
    </row>
    <row r="943" spans="1:11" ht="18.75" customHeight="1" x14ac:dyDescent="0.25">
      <c r="A943" s="132"/>
      <c r="B943" s="247" t="s">
        <v>539</v>
      </c>
      <c r="C943" s="247"/>
      <c r="D943" s="247"/>
      <c r="E943" s="247"/>
      <c r="F943" s="255"/>
      <c r="J943" s="42"/>
      <c r="K943" s="42"/>
    </row>
    <row r="944" spans="1:11" ht="18.75" customHeight="1" x14ac:dyDescent="0.25">
      <c r="A944" s="132"/>
      <c r="B944" s="247"/>
      <c r="C944" s="247"/>
      <c r="D944" s="247"/>
      <c r="E944" s="247"/>
      <c r="F944" s="255"/>
      <c r="G944" s="251" t="s">
        <v>622</v>
      </c>
      <c r="H944" s="25">
        <f>'Process (2)'!H168</f>
        <v>0.87073383094322576</v>
      </c>
      <c r="I944" s="501" t="s">
        <v>2</v>
      </c>
      <c r="J944" s="42"/>
      <c r="K944" s="42"/>
    </row>
    <row r="945" spans="1:11" ht="18.75" customHeight="1" x14ac:dyDescent="0.25">
      <c r="A945" s="132"/>
      <c r="B945" s="247" t="s">
        <v>165</v>
      </c>
      <c r="C945" s="247"/>
      <c r="D945" s="247"/>
      <c r="E945" s="247"/>
      <c r="F945" s="247"/>
      <c r="G945" s="57" t="s">
        <v>166</v>
      </c>
      <c r="H945" s="111">
        <f>'Process (2)'!H169</f>
        <v>0.3</v>
      </c>
      <c r="I945" s="508"/>
      <c r="J945" s="42"/>
      <c r="K945" s="42"/>
    </row>
    <row r="946" spans="1:11" ht="18.75" customHeight="1" x14ac:dyDescent="0.25">
      <c r="A946" s="132"/>
      <c r="B946" s="247"/>
      <c r="C946" s="247"/>
      <c r="D946" s="247"/>
      <c r="E946" s="247"/>
      <c r="F946" s="247"/>
      <c r="G946" s="57"/>
      <c r="H946" s="112"/>
      <c r="I946" s="508"/>
      <c r="J946" s="42"/>
      <c r="K946" s="42"/>
    </row>
    <row r="947" spans="1:11" ht="18.75" customHeight="1" x14ac:dyDescent="0.25">
      <c r="A947" s="132"/>
      <c r="B947" s="247" t="s">
        <v>541</v>
      </c>
      <c r="C947" s="247"/>
      <c r="D947" s="247"/>
      <c r="E947" s="247"/>
      <c r="F947" s="247"/>
      <c r="G947" s="247"/>
      <c r="H947" s="57"/>
      <c r="I947" s="112"/>
      <c r="J947" s="42"/>
      <c r="K947" s="42"/>
    </row>
    <row r="948" spans="1:11" ht="18.75" customHeight="1" x14ac:dyDescent="0.25">
      <c r="A948" s="132"/>
      <c r="B948" s="259" t="s">
        <v>361</v>
      </c>
      <c r="C948" s="289" t="s">
        <v>951</v>
      </c>
      <c r="D948" s="115" t="s">
        <v>362</v>
      </c>
      <c r="E948" s="291">
        <v>0.8</v>
      </c>
      <c r="F948" s="42"/>
      <c r="G948" s="247"/>
      <c r="H948" s="57"/>
      <c r="I948" s="112"/>
      <c r="J948" s="42"/>
      <c r="K948" s="42"/>
    </row>
    <row r="949" spans="1:11" ht="18.75" customHeight="1" x14ac:dyDescent="0.25">
      <c r="A949" s="132"/>
      <c r="B949" s="247"/>
      <c r="C949" s="113">
        <f>'Process (2)'!C173</f>
        <v>0.79348575208323102</v>
      </c>
      <c r="D949" s="115" t="str">
        <f>IF(C949&lt;E949,"&lt;","&gt;")</f>
        <v>&lt;</v>
      </c>
      <c r="E949" s="85">
        <v>0.8</v>
      </c>
      <c r="F949" s="42"/>
      <c r="G949" s="339" t="s">
        <v>363</v>
      </c>
      <c r="H949" s="439" t="str">
        <f>IF(C949&lt;E949,"[ OK ]","[ NOT OK ]")</f>
        <v>[ OK ]</v>
      </c>
      <c r="I949" s="31"/>
      <c r="J949" s="42"/>
      <c r="K949" s="42"/>
    </row>
    <row r="950" spans="1:11" ht="18.75" customHeight="1" x14ac:dyDescent="0.25">
      <c r="A950" s="132"/>
      <c r="B950" s="247"/>
      <c r="C950" s="247"/>
      <c r="D950" s="247"/>
      <c r="E950" s="247"/>
      <c r="F950" s="247"/>
      <c r="G950" s="247"/>
      <c r="H950" s="115"/>
      <c r="I950" s="293"/>
      <c r="J950" s="42"/>
      <c r="K950" s="42"/>
    </row>
    <row r="951" spans="1:11" ht="18.75" customHeight="1" x14ac:dyDescent="0.25">
      <c r="A951" s="132"/>
      <c r="B951" s="247" t="s">
        <v>542</v>
      </c>
      <c r="C951" s="247"/>
      <c r="D951" s="247"/>
      <c r="E951" s="247"/>
      <c r="F951" s="247"/>
      <c r="G951" s="247"/>
      <c r="H951" s="115"/>
      <c r="I951" s="293"/>
      <c r="J951" s="42"/>
      <c r="K951" s="42"/>
    </row>
    <row r="952" spans="1:11" ht="18.75" customHeight="1" x14ac:dyDescent="0.25">
      <c r="A952" s="132"/>
      <c r="B952" s="259" t="s">
        <v>361</v>
      </c>
      <c r="C952" s="42"/>
      <c r="D952" s="42"/>
      <c r="E952" s="42"/>
      <c r="F952" s="42"/>
      <c r="G952" s="42"/>
      <c r="H952" s="31"/>
      <c r="I952" s="293"/>
      <c r="J952" s="42"/>
      <c r="K952" s="42"/>
    </row>
    <row r="953" spans="1:11" ht="18.75" customHeight="1" x14ac:dyDescent="0.25">
      <c r="A953" s="132"/>
      <c r="B953" s="289" t="s">
        <v>543</v>
      </c>
      <c r="C953" s="115" t="s">
        <v>362</v>
      </c>
      <c r="D953" s="289" t="s">
        <v>544</v>
      </c>
      <c r="E953" s="115" t="s">
        <v>362</v>
      </c>
      <c r="F953" s="289" t="s">
        <v>545</v>
      </c>
      <c r="G953" s="31"/>
      <c r="H953" s="293"/>
      <c r="I953" s="42"/>
      <c r="J953" s="42"/>
      <c r="K953" s="42"/>
    </row>
    <row r="954" spans="1:11" ht="18.75" customHeight="1" x14ac:dyDescent="0.25">
      <c r="A954" s="132"/>
      <c r="B954" s="81">
        <f>'Process (2)'!B178</f>
        <v>-0.10811217397947465</v>
      </c>
      <c r="C954" s="115" t="str">
        <f>IF(B954&lt;D954,"&lt;","&gt;")</f>
        <v>&lt;</v>
      </c>
      <c r="D954" s="81">
        <f>'Process (2)'!D178</f>
        <v>0.81195046302450269</v>
      </c>
      <c r="E954" s="115" t="str">
        <f>IF(D954&lt;F954,"&lt;","&gt;")</f>
        <v>&lt;</v>
      </c>
      <c r="F954" s="81">
        <f>'Process (2)'!F178</f>
        <v>0.87073383094322576</v>
      </c>
      <c r="G954" s="339" t="s">
        <v>363</v>
      </c>
      <c r="H954" s="439" t="str">
        <f>IF(B954&lt;'Input (1)'!E444,IF(D954&lt;F954,"[ OK ]","[ NOT OK ]"),"[ NOT OK ]")</f>
        <v>[ OK ]</v>
      </c>
      <c r="I954" s="42"/>
      <c r="J954" s="42"/>
      <c r="K954" s="42"/>
    </row>
    <row r="955" spans="1:11" ht="18.75" customHeight="1" x14ac:dyDescent="0.25">
      <c r="A955" s="132"/>
      <c r="B955" s="247"/>
      <c r="C955" s="247"/>
      <c r="D955" s="247"/>
      <c r="E955" s="247"/>
      <c r="F955" s="247"/>
      <c r="G955" s="247"/>
      <c r="H955" s="57"/>
      <c r="I955" s="112"/>
      <c r="J955" s="42"/>
      <c r="K955" s="42"/>
    </row>
    <row r="956" spans="1:11" ht="18.75" customHeight="1" x14ac:dyDescent="0.25">
      <c r="A956" s="132"/>
      <c r="B956" s="247" t="s">
        <v>167</v>
      </c>
      <c r="C956" s="247"/>
      <c r="D956" s="247"/>
      <c r="E956" s="247"/>
      <c r="F956" s="247"/>
      <c r="J956" s="42"/>
      <c r="K956" s="42"/>
    </row>
    <row r="957" spans="1:11" ht="18.75" customHeight="1" x14ac:dyDescent="0.25">
      <c r="A957" s="132"/>
      <c r="B957" s="247"/>
      <c r="C957" s="247"/>
      <c r="D957" s="247"/>
      <c r="E957" s="247"/>
      <c r="F957" s="247"/>
      <c r="G957" s="57" t="s">
        <v>168</v>
      </c>
      <c r="H957" s="73">
        <f>'Process (2)'!H180</f>
        <v>6933.8777837337202</v>
      </c>
      <c r="I957" s="259" t="s">
        <v>40</v>
      </c>
      <c r="J957" s="42"/>
      <c r="K957" s="42"/>
    </row>
    <row r="958" spans="1:11" ht="18.75" customHeight="1" x14ac:dyDescent="0.25">
      <c r="A958" s="132"/>
      <c r="B958" s="42"/>
      <c r="C958" s="42"/>
      <c r="D958" s="42"/>
      <c r="E958" s="42"/>
      <c r="F958" s="42"/>
      <c r="G958" s="42"/>
      <c r="H958" s="57"/>
      <c r="I958" s="509"/>
      <c r="J958" s="42"/>
      <c r="K958" s="42"/>
    </row>
    <row r="959" spans="1:11" ht="18.75" customHeight="1" x14ac:dyDescent="0.25">
      <c r="A959" s="132" t="s">
        <v>1315</v>
      </c>
      <c r="B959" s="332" t="s">
        <v>621</v>
      </c>
      <c r="C959" s="42"/>
      <c r="D959" s="42"/>
      <c r="E959" s="42"/>
      <c r="F959" s="42"/>
      <c r="G959" s="42"/>
      <c r="H959" s="30"/>
      <c r="I959" s="31"/>
      <c r="J959" s="42"/>
      <c r="K959" s="42"/>
    </row>
    <row r="960" spans="1:11" ht="18.75" customHeight="1" x14ac:dyDescent="0.25">
      <c r="A960" s="132"/>
      <c r="B960" s="247" t="s">
        <v>169</v>
      </c>
      <c r="C960" s="247"/>
      <c r="D960" s="247"/>
      <c r="E960" s="247"/>
      <c r="F960" s="42"/>
      <c r="G960" s="153"/>
      <c r="H960" s="299">
        <f>'Process (2)'!H183</f>
        <v>13</v>
      </c>
      <c r="I960" s="259" t="s">
        <v>5</v>
      </c>
      <c r="J960" s="42"/>
      <c r="K960" s="42"/>
    </row>
    <row r="961" spans="1:11" ht="18.75" customHeight="1" x14ac:dyDescent="0.25">
      <c r="A961" s="132"/>
      <c r="B961" s="247" t="s">
        <v>546</v>
      </c>
      <c r="C961" s="247"/>
      <c r="D961" s="247"/>
      <c r="E961" s="247"/>
      <c r="F961" s="42"/>
      <c r="G961" s="251" t="s">
        <v>547</v>
      </c>
      <c r="H961" s="69">
        <f>'Process (2)'!H184</f>
        <v>4.419417382415922E-3</v>
      </c>
      <c r="I961" s="259"/>
      <c r="J961" s="42"/>
      <c r="K961" s="42"/>
    </row>
    <row r="962" spans="1:11" ht="18.75" customHeight="1" x14ac:dyDescent="0.25">
      <c r="A962" s="132"/>
      <c r="B962" s="247"/>
      <c r="C962" s="247"/>
      <c r="D962" s="247"/>
      <c r="E962" s="247"/>
      <c r="F962" s="42"/>
      <c r="G962" s="251" t="s">
        <v>548</v>
      </c>
      <c r="H962" s="69">
        <f>'Process (2)'!H185</f>
        <v>3.4999999999999996E-3</v>
      </c>
      <c r="I962" s="259"/>
      <c r="J962" s="42"/>
      <c r="K962" s="42"/>
    </row>
    <row r="963" spans="1:11" ht="18.75" customHeight="1" x14ac:dyDescent="0.25">
      <c r="A963" s="132"/>
      <c r="B963" s="247"/>
      <c r="C963" s="247"/>
      <c r="D963" s="247"/>
      <c r="E963" s="247"/>
      <c r="F963" s="42"/>
      <c r="G963" s="251" t="s">
        <v>549</v>
      </c>
      <c r="H963" s="69">
        <f>'Process (2)'!H186</f>
        <v>4.0000000000000001E-3</v>
      </c>
      <c r="I963" s="259"/>
      <c r="J963" s="42"/>
      <c r="K963" s="42"/>
    </row>
    <row r="964" spans="1:11" ht="18.75" customHeight="1" x14ac:dyDescent="0.25">
      <c r="A964" s="132"/>
      <c r="B964" s="247" t="s">
        <v>550</v>
      </c>
      <c r="C964" s="247"/>
      <c r="D964" s="247"/>
      <c r="E964" s="247"/>
      <c r="F964" s="42"/>
      <c r="G964" s="251" t="s">
        <v>551</v>
      </c>
      <c r="H964" s="69">
        <f>'Process (2)'!H187</f>
        <v>4.419417382415922E-3</v>
      </c>
      <c r="I964" s="259"/>
      <c r="J964" s="42"/>
      <c r="K964" s="42"/>
    </row>
    <row r="965" spans="1:11" ht="18.75" customHeight="1" x14ac:dyDescent="0.25">
      <c r="A965" s="132"/>
      <c r="B965" s="247" t="s">
        <v>171</v>
      </c>
      <c r="C965" s="247"/>
      <c r="D965" s="247"/>
      <c r="E965" s="247"/>
      <c r="F965" s="42"/>
      <c r="G965" s="57" t="s">
        <v>888</v>
      </c>
      <c r="H965" s="73">
        <f>'Process (2)'!H188</f>
        <v>132.73228961416876</v>
      </c>
      <c r="I965" s="259" t="s">
        <v>179</v>
      </c>
      <c r="J965" s="42"/>
      <c r="K965" s="42"/>
    </row>
    <row r="966" spans="1:11" ht="18.75" customHeight="1" x14ac:dyDescent="0.25">
      <c r="A966" s="132"/>
      <c r="B966" s="247"/>
      <c r="C966" s="247"/>
      <c r="D966" s="247"/>
      <c r="E966" s="247"/>
      <c r="F966" s="42"/>
      <c r="G966" s="42"/>
      <c r="H966" s="57"/>
      <c r="I966" s="509"/>
      <c r="J966" s="42"/>
      <c r="K966" s="42"/>
    </row>
    <row r="967" spans="1:11" ht="18.75" customHeight="1" x14ac:dyDescent="0.25">
      <c r="A967" s="132"/>
      <c r="B967" s="247"/>
      <c r="C967" s="247"/>
      <c r="D967" s="247"/>
      <c r="E967" s="247"/>
      <c r="F967" s="42"/>
      <c r="G967" s="42"/>
      <c r="H967" s="57"/>
      <c r="I967" s="509"/>
      <c r="J967" s="42"/>
      <c r="K967" s="42"/>
    </row>
    <row r="968" spans="1:11" ht="18.75" customHeight="1" x14ac:dyDescent="0.25">
      <c r="A968" s="132"/>
      <c r="B968" s="247"/>
      <c r="C968" s="247"/>
      <c r="D968" s="247"/>
      <c r="E968" s="247"/>
      <c r="F968" s="42"/>
      <c r="G968" s="42"/>
      <c r="H968" s="57"/>
      <c r="I968" s="509"/>
      <c r="J968" s="42"/>
      <c r="K968" s="42"/>
    </row>
    <row r="969" spans="1:11" ht="18.75" customHeight="1" x14ac:dyDescent="0.25">
      <c r="A969" s="132"/>
      <c r="B969" s="247"/>
      <c r="C969" s="247"/>
      <c r="D969" s="247"/>
      <c r="E969" s="247"/>
      <c r="F969" s="42"/>
      <c r="G969" s="42"/>
      <c r="H969" s="57"/>
      <c r="I969" s="509"/>
      <c r="J969" s="42"/>
      <c r="K969" s="42"/>
    </row>
    <row r="970" spans="1:11" ht="18.75" customHeight="1" x14ac:dyDescent="0.25">
      <c r="A970" s="132"/>
      <c r="B970" s="247"/>
      <c r="C970" s="247"/>
      <c r="D970" s="247"/>
      <c r="E970" s="247"/>
      <c r="F970" s="42"/>
      <c r="G970" s="42"/>
      <c r="H970" s="57"/>
      <c r="I970" s="509"/>
      <c r="J970" s="42"/>
      <c r="K970" s="42"/>
    </row>
    <row r="971" spans="1:11" ht="18.75" customHeight="1" x14ac:dyDescent="0.25">
      <c r="A971" s="132"/>
      <c r="B971" s="247"/>
      <c r="C971" s="247"/>
      <c r="D971" s="247"/>
      <c r="E971" s="247"/>
      <c r="F971" s="42"/>
      <c r="G971" s="42"/>
      <c r="H971" s="57"/>
      <c r="I971" s="509"/>
      <c r="J971" s="42"/>
      <c r="K971" s="42"/>
    </row>
    <row r="972" spans="1:11" ht="18.75" customHeight="1" x14ac:dyDescent="0.25">
      <c r="A972" s="132"/>
      <c r="B972" s="247"/>
      <c r="C972" s="247"/>
      <c r="D972" s="247"/>
      <c r="E972" s="247"/>
      <c r="F972" s="42"/>
      <c r="G972" s="42"/>
      <c r="H972" s="57"/>
      <c r="I972" s="509"/>
      <c r="J972" s="42"/>
      <c r="K972" s="42"/>
    </row>
    <row r="973" spans="1:11" ht="18.75" customHeight="1" x14ac:dyDescent="0.25">
      <c r="A973" s="132"/>
      <c r="B973" s="247"/>
      <c r="C973" s="247"/>
      <c r="D973" s="247"/>
      <c r="E973" s="247"/>
      <c r="F973" s="42"/>
      <c r="G973" s="42"/>
      <c r="H973" s="57"/>
      <c r="I973" s="509"/>
      <c r="J973" s="42"/>
      <c r="K973" s="42"/>
    </row>
    <row r="974" spans="1:11" ht="18.75" customHeight="1" x14ac:dyDescent="0.25">
      <c r="A974" s="132"/>
      <c r="B974" s="247"/>
      <c r="C974" s="247"/>
      <c r="D974" s="247"/>
      <c r="E974" s="247"/>
      <c r="F974" s="42"/>
      <c r="G974" s="42"/>
      <c r="H974" s="57"/>
      <c r="I974" s="509"/>
      <c r="J974" s="42"/>
      <c r="K974" s="42"/>
    </row>
    <row r="975" spans="1:11" ht="18.75" customHeight="1" x14ac:dyDescent="0.25">
      <c r="A975" s="132"/>
      <c r="B975" s="247"/>
      <c r="C975" s="247"/>
      <c r="D975" s="247"/>
      <c r="E975" s="247"/>
      <c r="F975" s="42"/>
      <c r="G975" s="42"/>
      <c r="H975" s="57"/>
      <c r="I975" s="509"/>
      <c r="J975" s="42"/>
      <c r="K975" s="42"/>
    </row>
    <row r="976" spans="1:11" ht="18.75" customHeight="1" x14ac:dyDescent="0.25">
      <c r="A976" s="132"/>
      <c r="B976" s="247"/>
      <c r="C976" s="247"/>
      <c r="D976" s="247"/>
      <c r="E976" s="247"/>
      <c r="F976" s="42"/>
      <c r="G976" s="42"/>
      <c r="H976" s="57"/>
      <c r="I976" s="509"/>
      <c r="J976" s="42"/>
      <c r="K976" s="42"/>
    </row>
    <row r="977" spans="1:11" ht="18.75" customHeight="1" x14ac:dyDescent="0.25">
      <c r="A977" s="132"/>
      <c r="B977" s="247"/>
      <c r="C977" s="247"/>
      <c r="D977" s="247"/>
      <c r="E977" s="247"/>
      <c r="F977" s="42"/>
      <c r="G977" s="42"/>
      <c r="H977" s="57"/>
      <c r="I977" s="509"/>
      <c r="J977" s="42"/>
      <c r="K977" s="42"/>
    </row>
    <row r="978" spans="1:11" ht="18.75" customHeight="1" x14ac:dyDescent="0.25">
      <c r="A978" s="132"/>
      <c r="B978" s="247" t="s">
        <v>172</v>
      </c>
      <c r="C978" s="247"/>
      <c r="D978" s="247"/>
      <c r="E978" s="247"/>
      <c r="F978" s="42"/>
      <c r="G978" s="57" t="s">
        <v>180</v>
      </c>
      <c r="H978" s="73">
        <f>'Process (2)'!H201</f>
        <v>287500</v>
      </c>
      <c r="I978" s="259" t="s">
        <v>179</v>
      </c>
      <c r="J978" s="42"/>
      <c r="K978" s="42"/>
    </row>
    <row r="979" spans="1:11" ht="18.75" customHeight="1" x14ac:dyDescent="0.25">
      <c r="A979" s="132"/>
      <c r="B979" s="247" t="s">
        <v>170</v>
      </c>
      <c r="C979" s="247"/>
      <c r="D979" s="247"/>
      <c r="E979" s="247"/>
      <c r="F979" s="42"/>
      <c r="G979" s="57" t="s">
        <v>552</v>
      </c>
      <c r="H979" s="73">
        <f>'Process (2)'!H202</f>
        <v>1270.5824974445775</v>
      </c>
      <c r="I979" s="259" t="s">
        <v>179</v>
      </c>
      <c r="J979" s="42"/>
      <c r="K979" s="42"/>
    </row>
    <row r="980" spans="1:11" ht="18.75" customHeight="1" x14ac:dyDescent="0.25">
      <c r="A980" s="132"/>
      <c r="B980" s="247" t="s">
        <v>173</v>
      </c>
      <c r="C980" s="247"/>
      <c r="D980" s="247"/>
      <c r="E980" s="247"/>
      <c r="F980" s="42"/>
      <c r="G980" s="57" t="s">
        <v>181</v>
      </c>
      <c r="H980" s="77">
        <f>'Process (2)'!H203</f>
        <v>10</v>
      </c>
      <c r="I980" s="259" t="s">
        <v>133</v>
      </c>
      <c r="J980" s="42"/>
      <c r="K980" s="42"/>
    </row>
    <row r="981" spans="1:11" ht="18.75" customHeight="1" x14ac:dyDescent="0.25">
      <c r="A981" s="132"/>
      <c r="B981" s="247"/>
      <c r="C981" s="247"/>
      <c r="D981" s="247"/>
      <c r="E981" s="247"/>
      <c r="F981" s="42"/>
      <c r="G981" s="247"/>
      <c r="H981" s="115"/>
      <c r="I981" s="259"/>
      <c r="J981" s="42"/>
      <c r="K981" s="42"/>
    </row>
    <row r="982" spans="1:11" ht="18.75" customHeight="1" x14ac:dyDescent="0.25">
      <c r="A982" s="132"/>
      <c r="B982" s="247" t="s">
        <v>174</v>
      </c>
      <c r="C982" s="247"/>
      <c r="D982" s="247"/>
      <c r="E982" s="247"/>
      <c r="F982" s="42"/>
      <c r="G982" s="57" t="s">
        <v>182</v>
      </c>
      <c r="H982" s="73">
        <f>'Process (2)'!H205</f>
        <v>208800</v>
      </c>
      <c r="I982" s="259" t="s">
        <v>179</v>
      </c>
      <c r="J982" s="42"/>
      <c r="K982" s="42"/>
    </row>
    <row r="983" spans="1:11" ht="18.75" customHeight="1" x14ac:dyDescent="0.25">
      <c r="A983" s="132"/>
      <c r="B983" s="247" t="s">
        <v>175</v>
      </c>
      <c r="C983" s="247"/>
      <c r="D983" s="247"/>
      <c r="E983" s="247"/>
      <c r="F983" s="42"/>
      <c r="G983" s="57" t="s">
        <v>554</v>
      </c>
      <c r="H983" s="73">
        <f>'Process (2)'!H206</f>
        <v>922.77434944844447</v>
      </c>
      <c r="I983" s="259" t="s">
        <v>179</v>
      </c>
      <c r="J983" s="42"/>
      <c r="K983" s="42"/>
    </row>
    <row r="984" spans="1:11" ht="18.75" customHeight="1" x14ac:dyDescent="0.25">
      <c r="A984" s="132"/>
      <c r="B984" s="247" t="s">
        <v>173</v>
      </c>
      <c r="C984" s="247"/>
      <c r="D984" s="247"/>
      <c r="E984" s="247"/>
      <c r="F984" s="42"/>
      <c r="G984" s="57" t="s">
        <v>183</v>
      </c>
      <c r="H984" s="77">
        <f>'Process (2)'!H207</f>
        <v>8</v>
      </c>
      <c r="I984" s="259" t="s">
        <v>133</v>
      </c>
      <c r="J984" s="42"/>
      <c r="K984" s="42"/>
    </row>
    <row r="985" spans="1:11" ht="18.75" customHeight="1" x14ac:dyDescent="0.25">
      <c r="A985" s="132"/>
      <c r="B985" s="247"/>
      <c r="C985" s="247"/>
      <c r="D985" s="247"/>
      <c r="E985" s="247"/>
      <c r="F985" s="42"/>
      <c r="G985" s="247"/>
      <c r="H985" s="247"/>
      <c r="I985" s="259"/>
      <c r="J985" s="42"/>
      <c r="K985" s="42"/>
    </row>
    <row r="986" spans="1:11" ht="18.75" customHeight="1" x14ac:dyDescent="0.25">
      <c r="A986" s="132"/>
      <c r="B986" s="247" t="s">
        <v>176</v>
      </c>
      <c r="C986" s="247"/>
      <c r="D986" s="247"/>
      <c r="E986" s="247"/>
      <c r="F986" s="42"/>
      <c r="G986" s="57" t="s">
        <v>184</v>
      </c>
      <c r="H986" s="73">
        <f>'Process (2)'!H209</f>
        <v>256000.00000000006</v>
      </c>
      <c r="I986" s="259" t="s">
        <v>179</v>
      </c>
      <c r="J986" s="42"/>
      <c r="K986" s="42"/>
    </row>
    <row r="987" spans="1:11" ht="18.75" customHeight="1" x14ac:dyDescent="0.25">
      <c r="A987" s="132"/>
      <c r="B987" s="247" t="s">
        <v>177</v>
      </c>
      <c r="C987" s="247"/>
      <c r="D987" s="247"/>
      <c r="E987" s="247"/>
      <c r="F987" s="42"/>
      <c r="G987" s="57" t="s">
        <v>553</v>
      </c>
      <c r="H987" s="73">
        <f>'Process (2)'!H210</f>
        <v>1131.3708498984763</v>
      </c>
      <c r="I987" s="259" t="s">
        <v>179</v>
      </c>
      <c r="J987" s="42"/>
      <c r="K987" s="42"/>
    </row>
    <row r="988" spans="1:11" ht="18.75" customHeight="1" x14ac:dyDescent="0.25">
      <c r="A988" s="132"/>
      <c r="B988" s="247" t="s">
        <v>173</v>
      </c>
      <c r="C988" s="247"/>
      <c r="D988" s="247"/>
      <c r="E988" s="247"/>
      <c r="F988" s="42"/>
      <c r="G988" s="57" t="s">
        <v>185</v>
      </c>
      <c r="H988" s="77">
        <f>'Process (2)'!H211</f>
        <v>10</v>
      </c>
      <c r="I988" s="259" t="s">
        <v>133</v>
      </c>
      <c r="J988" s="42"/>
      <c r="K988" s="42"/>
    </row>
    <row r="989" spans="1:11" ht="18.75" customHeight="1" x14ac:dyDescent="0.25">
      <c r="A989" s="132"/>
      <c r="B989" s="42"/>
      <c r="C989" s="42"/>
      <c r="D989" s="42"/>
      <c r="E989" s="42"/>
      <c r="F989" s="115"/>
      <c r="G989" s="259"/>
      <c r="H989" s="31"/>
      <c r="I989" s="119"/>
      <c r="J989" s="42"/>
      <c r="K989" s="42"/>
    </row>
    <row r="990" spans="1:11" ht="18.75" customHeight="1" x14ac:dyDescent="0.25">
      <c r="A990" s="132"/>
      <c r="B990" s="42"/>
      <c r="C990" s="42"/>
      <c r="D990" s="42"/>
      <c r="E990" s="42"/>
      <c r="F990" s="115"/>
      <c r="G990" s="259"/>
      <c r="H990" s="31"/>
      <c r="I990" s="119"/>
      <c r="J990" s="42"/>
      <c r="K990" s="42"/>
    </row>
    <row r="991" spans="1:11" ht="18.75" customHeight="1" x14ac:dyDescent="0.25">
      <c r="A991" s="132"/>
      <c r="B991" s="42"/>
      <c r="C991" s="42"/>
      <c r="D991" s="42"/>
      <c r="E991" s="42"/>
      <c r="F991" s="115"/>
      <c r="G991" s="259"/>
      <c r="H991" s="31"/>
      <c r="I991" s="119"/>
      <c r="J991" s="42"/>
      <c r="K991" s="42"/>
    </row>
    <row r="992" spans="1:11" ht="18.75" customHeight="1" x14ac:dyDescent="0.25">
      <c r="A992" s="132"/>
      <c r="B992" s="42"/>
      <c r="C992" s="42"/>
      <c r="D992" s="42"/>
      <c r="E992" s="42"/>
      <c r="F992" s="115"/>
      <c r="G992" s="259"/>
      <c r="H992" s="31"/>
      <c r="I992" s="119"/>
      <c r="J992" s="42"/>
      <c r="K992" s="42"/>
    </row>
    <row r="993" spans="1:11" ht="18.75" customHeight="1" x14ac:dyDescent="0.25">
      <c r="A993" s="132"/>
      <c r="B993" s="42"/>
      <c r="C993" s="42"/>
      <c r="D993" s="42"/>
      <c r="E993" s="42"/>
      <c r="F993" s="115"/>
      <c r="G993" s="259"/>
      <c r="H993" s="31"/>
      <c r="I993" s="119"/>
      <c r="J993" s="42"/>
      <c r="K993" s="42"/>
    </row>
    <row r="994" spans="1:11" ht="18.75" customHeight="1" x14ac:dyDescent="0.25">
      <c r="A994" s="132"/>
      <c r="B994" s="42"/>
      <c r="C994" s="42"/>
      <c r="D994" s="42"/>
      <c r="E994" s="42"/>
      <c r="F994" s="115"/>
      <c r="G994" s="259"/>
      <c r="H994" s="31"/>
      <c r="I994" s="119"/>
      <c r="J994" s="42"/>
      <c r="K994" s="42"/>
    </row>
    <row r="995" spans="1:11" ht="18.75" customHeight="1" x14ac:dyDescent="0.25">
      <c r="A995" s="132"/>
      <c r="B995" s="42"/>
      <c r="C995" s="42"/>
      <c r="D995" s="42"/>
      <c r="E995" s="42"/>
      <c r="F995" s="115"/>
      <c r="G995" s="259"/>
      <c r="H995" s="31"/>
      <c r="I995" s="119"/>
      <c r="J995" s="42"/>
      <c r="K995" s="42"/>
    </row>
    <row r="996" spans="1:11" ht="18.75" customHeight="1" x14ac:dyDescent="0.25">
      <c r="A996" s="132" t="s">
        <v>1316</v>
      </c>
      <c r="B996" s="332" t="s">
        <v>625</v>
      </c>
      <c r="C996" s="42"/>
      <c r="D996" s="42"/>
      <c r="E996" s="42"/>
      <c r="F996" s="42"/>
      <c r="G996" s="42"/>
      <c r="H996" s="30"/>
      <c r="I996" s="31"/>
      <c r="J996" s="42"/>
      <c r="K996" s="42"/>
    </row>
    <row r="997" spans="1:11" ht="18.75" customHeight="1" x14ac:dyDescent="0.25">
      <c r="A997" s="132"/>
      <c r="B997" s="42"/>
      <c r="C997" s="42"/>
      <c r="D997" s="42"/>
      <c r="E997" s="42"/>
      <c r="F997" s="42"/>
      <c r="G997" s="42"/>
      <c r="H997" s="30"/>
      <c r="I997" s="31"/>
      <c r="J997" s="42"/>
      <c r="K997" s="42"/>
    </row>
    <row r="998" spans="1:11" ht="18.75" customHeight="1" x14ac:dyDescent="0.25">
      <c r="A998" s="132"/>
      <c r="B998" s="42"/>
      <c r="C998" s="42"/>
      <c r="D998" s="42"/>
      <c r="E998" s="42"/>
      <c r="F998" s="42"/>
      <c r="G998" s="42"/>
      <c r="H998" s="30"/>
      <c r="I998" s="31"/>
      <c r="J998" s="42"/>
      <c r="K998" s="42"/>
    </row>
    <row r="999" spans="1:11" ht="18.75" customHeight="1" x14ac:dyDescent="0.25">
      <c r="A999" s="132"/>
      <c r="B999" s="42"/>
      <c r="C999" s="42"/>
      <c r="D999" s="42"/>
      <c r="E999" s="42"/>
      <c r="F999" s="42"/>
      <c r="G999" s="42"/>
      <c r="H999" s="30"/>
      <c r="I999" s="31"/>
      <c r="J999" s="42"/>
      <c r="K999" s="42"/>
    </row>
    <row r="1000" spans="1:11" ht="18.75" customHeight="1" x14ac:dyDescent="0.25">
      <c r="A1000" s="132"/>
      <c r="B1000" s="42"/>
      <c r="C1000" s="42"/>
      <c r="D1000" s="42"/>
      <c r="E1000" s="42"/>
      <c r="F1000" s="42"/>
      <c r="G1000" s="42"/>
      <c r="H1000" s="30"/>
      <c r="I1000" s="31"/>
      <c r="J1000" s="42"/>
      <c r="K1000" s="42"/>
    </row>
    <row r="1001" spans="1:11" ht="18.75" customHeight="1" x14ac:dyDescent="0.25">
      <c r="A1001" s="132"/>
      <c r="B1001" s="42"/>
      <c r="C1001" s="42"/>
      <c r="D1001" s="42"/>
      <c r="E1001" s="42"/>
      <c r="F1001" s="42"/>
      <c r="G1001" s="42"/>
      <c r="H1001" s="30"/>
      <c r="I1001" s="31"/>
      <c r="J1001" s="42"/>
      <c r="K1001" s="42"/>
    </row>
    <row r="1002" spans="1:11" ht="18.75" customHeight="1" x14ac:dyDescent="0.25">
      <c r="A1002" s="132"/>
      <c r="B1002" s="42"/>
      <c r="C1002" s="42"/>
      <c r="D1002" s="42"/>
      <c r="E1002" s="42"/>
      <c r="F1002" s="42"/>
      <c r="G1002" s="42"/>
      <c r="H1002" s="30"/>
      <c r="I1002" s="31"/>
      <c r="J1002" s="42"/>
      <c r="K1002" s="42"/>
    </row>
    <row r="1003" spans="1:11" ht="18.75" customHeight="1" x14ac:dyDescent="0.25">
      <c r="A1003" s="132"/>
      <c r="B1003" s="42"/>
      <c r="C1003" s="42"/>
      <c r="D1003" s="42"/>
      <c r="E1003" s="42"/>
      <c r="F1003" s="42"/>
      <c r="G1003" s="42"/>
      <c r="H1003" s="30"/>
      <c r="I1003" s="31"/>
      <c r="J1003" s="42"/>
      <c r="K1003" s="42"/>
    </row>
    <row r="1004" spans="1:11" ht="18.75" customHeight="1" x14ac:dyDescent="0.25">
      <c r="A1004" s="132"/>
      <c r="B1004" s="42"/>
      <c r="C1004" s="42"/>
      <c r="D1004" s="42"/>
      <c r="E1004" s="42"/>
      <c r="F1004" s="42"/>
      <c r="G1004" s="42"/>
      <c r="H1004" s="30"/>
      <c r="I1004" s="31"/>
      <c r="J1004" s="42"/>
      <c r="K1004" s="42"/>
    </row>
    <row r="1005" spans="1:11" ht="18.75" customHeight="1" x14ac:dyDescent="0.25">
      <c r="A1005" s="132"/>
      <c r="B1005" s="42"/>
      <c r="C1005" s="42"/>
      <c r="D1005" s="42"/>
      <c r="E1005" s="42"/>
      <c r="F1005" s="42"/>
      <c r="G1005" s="42"/>
      <c r="H1005" s="30"/>
      <c r="I1005" s="31"/>
      <c r="J1005" s="42"/>
      <c r="K1005" s="42"/>
    </row>
    <row r="1006" spans="1:11" ht="18.75" customHeight="1" x14ac:dyDescent="0.25">
      <c r="A1006" s="132"/>
      <c r="B1006" s="42"/>
      <c r="C1006" s="42"/>
      <c r="D1006" s="42"/>
      <c r="E1006" s="42"/>
      <c r="F1006" s="42"/>
      <c r="G1006" s="42"/>
      <c r="H1006" s="30"/>
      <c r="I1006" s="31"/>
      <c r="J1006" s="42"/>
      <c r="K1006" s="42"/>
    </row>
    <row r="1007" spans="1:11" ht="18.75" customHeight="1" x14ac:dyDescent="0.25">
      <c r="A1007" s="132"/>
      <c r="B1007" s="42"/>
      <c r="C1007" s="42"/>
      <c r="D1007" s="42"/>
      <c r="E1007" s="42"/>
      <c r="F1007" s="42"/>
      <c r="G1007" s="42"/>
      <c r="H1007" s="30"/>
      <c r="I1007" s="31"/>
      <c r="J1007" s="42"/>
      <c r="K1007" s="42"/>
    </row>
    <row r="1008" spans="1:11" ht="18.75" customHeight="1" x14ac:dyDescent="0.25">
      <c r="A1008" s="132"/>
      <c r="B1008" s="42"/>
      <c r="C1008" s="42"/>
      <c r="D1008" s="42"/>
      <c r="E1008" s="42"/>
      <c r="F1008" s="42"/>
      <c r="G1008" s="42"/>
      <c r="H1008" s="30"/>
      <c r="I1008" s="31"/>
      <c r="J1008" s="42"/>
      <c r="K1008" s="42"/>
    </row>
    <row r="1009" spans="1:11" ht="18.75" customHeight="1" x14ac:dyDescent="0.25">
      <c r="A1009" s="132"/>
      <c r="B1009" s="42"/>
      <c r="C1009" s="42"/>
      <c r="D1009" s="42"/>
      <c r="E1009" s="42"/>
      <c r="F1009" s="42"/>
      <c r="G1009" s="42"/>
      <c r="H1009" s="30"/>
      <c r="I1009" s="31"/>
      <c r="J1009" s="42"/>
      <c r="K1009" s="42"/>
    </row>
    <row r="1010" spans="1:11" ht="18.75" customHeight="1" x14ac:dyDescent="0.25">
      <c r="A1010" s="132"/>
      <c r="B1010" s="42"/>
      <c r="C1010" s="42"/>
      <c r="D1010" s="42"/>
      <c r="E1010" s="42"/>
      <c r="F1010" s="42"/>
      <c r="G1010" s="42"/>
      <c r="H1010" s="30"/>
      <c r="I1010" s="31"/>
      <c r="J1010" s="42"/>
      <c r="K1010" s="42"/>
    </row>
    <row r="1011" spans="1:11" ht="18.75" customHeight="1" x14ac:dyDescent="0.25">
      <c r="A1011" s="132" t="s">
        <v>1317</v>
      </c>
      <c r="B1011" s="332" t="s">
        <v>626</v>
      </c>
      <c r="C1011" s="42"/>
      <c r="D1011" s="42"/>
      <c r="E1011" s="42"/>
      <c r="F1011" s="42"/>
      <c r="G1011" s="42"/>
      <c r="H1011" s="30"/>
      <c r="I1011" s="31"/>
      <c r="J1011" s="42"/>
      <c r="K1011" s="42"/>
    </row>
    <row r="1012" spans="1:11" ht="18.75" customHeight="1" x14ac:dyDescent="0.25">
      <c r="A1012" s="132"/>
      <c r="B1012" s="247" t="s">
        <v>187</v>
      </c>
      <c r="C1012" s="247"/>
      <c r="D1012" s="247"/>
      <c r="E1012" s="247"/>
      <c r="F1012" s="57" t="s">
        <v>186</v>
      </c>
      <c r="G1012" s="77">
        <f>'Process (2)'!G229</f>
        <v>0.16</v>
      </c>
      <c r="H1012" s="259" t="s">
        <v>2</v>
      </c>
      <c r="I1012" s="510"/>
      <c r="J1012" s="42"/>
      <c r="K1012" s="42"/>
    </row>
    <row r="1013" spans="1:11" ht="18.75" customHeight="1" x14ac:dyDescent="0.25">
      <c r="A1013" s="132"/>
      <c r="B1013" s="551" t="s">
        <v>188</v>
      </c>
      <c r="C1013" s="247"/>
      <c r="D1013" s="298" t="s">
        <v>889</v>
      </c>
      <c r="E1013" s="77">
        <f>'Process (2)'!E230</f>
        <v>1</v>
      </c>
      <c r="F1013" s="78" t="s">
        <v>157</v>
      </c>
      <c r="G1013" s="206" t="s">
        <v>924</v>
      </c>
      <c r="H1013" s="77">
        <f>'Process (2)'!H230</f>
        <v>11</v>
      </c>
      <c r="I1013" s="78" t="s">
        <v>190</v>
      </c>
      <c r="J1013" s="42"/>
      <c r="K1013" s="42"/>
    </row>
    <row r="1014" spans="1:11" ht="18.75" customHeight="1" x14ac:dyDescent="0.25">
      <c r="A1014" s="132"/>
      <c r="B1014" s="551" t="s">
        <v>189</v>
      </c>
      <c r="C1014" s="247"/>
      <c r="D1014" s="298" t="s">
        <v>890</v>
      </c>
      <c r="E1014" s="77">
        <f>'Process (2)'!E231</f>
        <v>3</v>
      </c>
      <c r="F1014" s="78" t="s">
        <v>157</v>
      </c>
      <c r="G1014" s="206" t="s">
        <v>925</v>
      </c>
      <c r="H1014" s="77">
        <f>'Process (2)'!H231</f>
        <v>57</v>
      </c>
      <c r="I1014" s="78" t="s">
        <v>190</v>
      </c>
      <c r="J1014" s="42"/>
      <c r="K1014" s="42"/>
    </row>
    <row r="1015" spans="1:11" ht="18.75" customHeight="1" x14ac:dyDescent="0.25">
      <c r="A1015" s="132"/>
      <c r="B1015" s="247"/>
      <c r="C1015" s="247"/>
      <c r="D1015" s="298" t="s">
        <v>893</v>
      </c>
      <c r="E1015" s="77">
        <f>'Process (2)'!E232</f>
        <v>4</v>
      </c>
      <c r="F1015" s="78" t="s">
        <v>157</v>
      </c>
      <c r="G1015" s="206" t="s">
        <v>162</v>
      </c>
      <c r="H1015" s="77">
        <f>'Process (2)'!H232</f>
        <v>68</v>
      </c>
      <c r="I1015" s="78" t="s">
        <v>190</v>
      </c>
      <c r="J1015" s="42"/>
      <c r="K1015" s="42"/>
    </row>
    <row r="1016" spans="1:11" ht="18.75" customHeight="1" x14ac:dyDescent="0.25">
      <c r="A1016" s="132"/>
      <c r="B1016" s="42"/>
      <c r="C1016" s="42"/>
      <c r="D1016" s="42"/>
      <c r="E1016" s="30"/>
      <c r="F1016" s="31"/>
      <c r="G1016" s="32"/>
      <c r="H1016" s="33"/>
      <c r="I1016" s="33"/>
      <c r="J1016" s="42"/>
      <c r="K1016" s="42"/>
    </row>
    <row r="1017" spans="1:11" ht="18.75" customHeight="1" x14ac:dyDescent="0.25">
      <c r="A1017" s="132"/>
      <c r="B1017" s="42" t="s">
        <v>191</v>
      </c>
      <c r="C1017" s="42"/>
      <c r="D1017" s="42"/>
      <c r="E1017" s="42"/>
      <c r="F1017" s="42"/>
      <c r="G1017" s="30" t="s">
        <v>204</v>
      </c>
      <c r="H1017" s="459">
        <f>'Process (2)'!H234</f>
        <v>0.81195046302450269</v>
      </c>
      <c r="I1017" s="32" t="s">
        <v>2</v>
      </c>
      <c r="J1017" s="42"/>
      <c r="K1017" s="42"/>
    </row>
    <row r="1018" spans="1:11" ht="18.75" customHeight="1" x14ac:dyDescent="0.25">
      <c r="A1018" s="132"/>
      <c r="B1018" s="42" t="s">
        <v>192</v>
      </c>
      <c r="C1018" s="42"/>
      <c r="D1018" s="42"/>
      <c r="E1018" s="42"/>
      <c r="F1018" s="42"/>
      <c r="G1018" s="30" t="s">
        <v>895</v>
      </c>
      <c r="H1018" s="459">
        <f>'Process (2)'!H235</f>
        <v>0.19999999999999996</v>
      </c>
      <c r="I1018" s="32" t="s">
        <v>2</v>
      </c>
      <c r="J1018" s="42"/>
      <c r="K1018" s="42"/>
    </row>
    <row r="1019" spans="1:11" ht="18.75" customHeight="1" x14ac:dyDescent="0.25">
      <c r="A1019" s="132"/>
      <c r="B1019" s="42" t="s">
        <v>193</v>
      </c>
      <c r="C1019" s="42"/>
      <c r="D1019" s="42"/>
      <c r="E1019" s="42"/>
      <c r="F1019" s="42"/>
      <c r="G1019" s="30" t="s">
        <v>898</v>
      </c>
      <c r="H1019" s="207">
        <f>'Process (2)'!H236</f>
        <v>250</v>
      </c>
      <c r="I1019" s="32" t="s">
        <v>5</v>
      </c>
      <c r="J1019" s="42"/>
      <c r="K1019" s="42"/>
    </row>
    <row r="1020" spans="1:11" ht="18.75" customHeight="1" x14ac:dyDescent="0.25">
      <c r="A1020" s="132"/>
      <c r="B1020" s="42" t="s">
        <v>194</v>
      </c>
      <c r="C1020" s="42"/>
      <c r="D1020" s="42"/>
      <c r="E1020" s="42"/>
      <c r="F1020" s="42"/>
      <c r="G1020" s="30" t="s">
        <v>896</v>
      </c>
      <c r="H1020" s="77">
        <f>'Process (2)'!H237</f>
        <v>87</v>
      </c>
      <c r="I1020" s="32" t="s">
        <v>5</v>
      </c>
      <c r="J1020" s="42"/>
      <c r="K1020" s="42"/>
    </row>
    <row r="1021" spans="1:11" ht="18.75" customHeight="1" x14ac:dyDescent="0.25">
      <c r="A1021" s="132"/>
      <c r="B1021" s="42" t="s">
        <v>195</v>
      </c>
      <c r="C1021" s="42"/>
      <c r="D1021" s="42"/>
      <c r="E1021" s="42"/>
      <c r="F1021" s="42"/>
      <c r="G1021" s="30" t="s">
        <v>897</v>
      </c>
      <c r="H1021" s="207">
        <f>'Process (2)'!H238</f>
        <v>163</v>
      </c>
      <c r="I1021" s="32" t="s">
        <v>5</v>
      </c>
      <c r="J1021" s="42"/>
      <c r="K1021" s="42"/>
    </row>
    <row r="1022" spans="1:11" ht="18.75" customHeight="1" x14ac:dyDescent="0.25">
      <c r="A1022" s="132"/>
      <c r="B1022" s="42" t="s">
        <v>921</v>
      </c>
      <c r="C1022" s="42"/>
      <c r="D1022" s="42"/>
      <c r="E1022" s="42"/>
      <c r="F1022" s="42"/>
      <c r="G1022" s="30"/>
      <c r="H1022" s="31"/>
      <c r="I1022" s="32"/>
      <c r="J1022" s="42"/>
      <c r="K1022" s="42"/>
    </row>
    <row r="1023" spans="1:11" ht="18.75" customHeight="1" x14ac:dyDescent="0.25">
      <c r="A1023" s="132"/>
      <c r="B1023" s="42" t="s">
        <v>429</v>
      </c>
      <c r="C1023" s="31" t="s">
        <v>922</v>
      </c>
      <c r="D1023" s="115" t="s">
        <v>532</v>
      </c>
      <c r="E1023" s="296">
        <v>25</v>
      </c>
      <c r="F1023" s="42"/>
      <c r="G1023" s="247"/>
      <c r="H1023" s="57"/>
      <c r="I1023" s="112"/>
      <c r="J1023" s="42"/>
      <c r="K1023" s="42"/>
    </row>
    <row r="1024" spans="1:11" ht="18.75" customHeight="1" x14ac:dyDescent="0.25">
      <c r="A1024" s="132"/>
      <c r="B1024" s="42"/>
      <c r="C1024" s="297">
        <f>'Process (2)'!C241</f>
        <v>163</v>
      </c>
      <c r="D1024" s="115" t="s">
        <v>532</v>
      </c>
      <c r="E1024" s="297">
        <v>25</v>
      </c>
      <c r="F1024" s="42"/>
      <c r="G1024" s="339" t="s">
        <v>363</v>
      </c>
      <c r="H1024" s="439" t="str">
        <f>IF(C1024&gt;E1024,"[ OK ]","[ NOT OK ]")</f>
        <v>[ OK ]</v>
      </c>
      <c r="I1024" s="42"/>
      <c r="J1024" s="42"/>
      <c r="K1024" s="42"/>
    </row>
    <row r="1025" spans="1:11" ht="18.75" customHeight="1" x14ac:dyDescent="0.25">
      <c r="A1025" s="132"/>
      <c r="B1025" s="42"/>
      <c r="C1025" s="294"/>
      <c r="D1025" s="115"/>
      <c r="E1025" s="295"/>
      <c r="F1025" s="42"/>
      <c r="G1025" s="247"/>
      <c r="H1025" s="339"/>
      <c r="I1025" s="478"/>
      <c r="J1025" s="42"/>
      <c r="K1025" s="42"/>
    </row>
    <row r="1026" spans="1:11" ht="18.75" customHeight="1" x14ac:dyDescent="0.25">
      <c r="A1026" s="132"/>
      <c r="B1026" s="42"/>
      <c r="C1026" s="294"/>
      <c r="D1026" s="115"/>
      <c r="E1026" s="295"/>
      <c r="F1026" s="42"/>
      <c r="G1026" s="247"/>
      <c r="H1026" s="339"/>
      <c r="I1026" s="478"/>
      <c r="J1026" s="42"/>
      <c r="K1026" s="42"/>
    </row>
    <row r="1027" spans="1:11" ht="18.75" customHeight="1" x14ac:dyDescent="0.25">
      <c r="A1027" s="132"/>
      <c r="B1027" s="42"/>
      <c r="C1027" s="294"/>
      <c r="D1027" s="115"/>
      <c r="E1027" s="295"/>
      <c r="F1027" s="42"/>
      <c r="G1027" s="247"/>
      <c r="H1027" s="339"/>
      <c r="I1027" s="478"/>
      <c r="J1027" s="42"/>
      <c r="K1027" s="42"/>
    </row>
    <row r="1028" spans="1:11" ht="18.75" customHeight="1" x14ac:dyDescent="0.25">
      <c r="A1028" s="132"/>
      <c r="B1028" s="42"/>
      <c r="C1028" s="294"/>
      <c r="D1028" s="115"/>
      <c r="E1028" s="295"/>
      <c r="F1028" s="42"/>
      <c r="G1028" s="247"/>
      <c r="H1028" s="339"/>
      <c r="I1028" s="478"/>
      <c r="J1028" s="42"/>
      <c r="K1028" s="42"/>
    </row>
    <row r="1029" spans="1:11" ht="18.75" customHeight="1" x14ac:dyDescent="0.25">
      <c r="A1029" s="132"/>
      <c r="B1029" s="42"/>
      <c r="C1029" s="294"/>
      <c r="D1029" s="115"/>
      <c r="E1029" s="295"/>
      <c r="F1029" s="42"/>
      <c r="G1029" s="247"/>
      <c r="H1029" s="339"/>
      <c r="I1029" s="478"/>
      <c r="J1029" s="42"/>
      <c r="K1029" s="42"/>
    </row>
    <row r="1030" spans="1:11" ht="18.75" customHeight="1" x14ac:dyDescent="0.25">
      <c r="A1030" s="132"/>
      <c r="B1030" s="42"/>
      <c r="C1030" s="294"/>
      <c r="D1030" s="115"/>
      <c r="E1030" s="295"/>
      <c r="F1030" s="42"/>
      <c r="G1030" s="247"/>
      <c r="H1030" s="339"/>
      <c r="I1030" s="478"/>
      <c r="J1030" s="42"/>
      <c r="K1030" s="42"/>
    </row>
    <row r="1031" spans="1:11" ht="18.75" customHeight="1" x14ac:dyDescent="0.25">
      <c r="A1031" s="132"/>
      <c r="B1031" s="42"/>
      <c r="C1031" s="294"/>
      <c r="D1031" s="115"/>
      <c r="E1031" s="295"/>
      <c r="F1031" s="42"/>
      <c r="G1031" s="247"/>
      <c r="H1031" s="339"/>
      <c r="I1031" s="478"/>
      <c r="J1031" s="42"/>
      <c r="K1031" s="42"/>
    </row>
    <row r="1032" spans="1:11" ht="18.75" customHeight="1" x14ac:dyDescent="0.25">
      <c r="A1032" s="132"/>
      <c r="B1032" s="42"/>
      <c r="C1032" s="294"/>
      <c r="D1032" s="115"/>
      <c r="E1032" s="295"/>
      <c r="F1032" s="42"/>
      <c r="G1032" s="247"/>
      <c r="H1032" s="339"/>
      <c r="I1032" s="478"/>
      <c r="J1032" s="42"/>
      <c r="K1032" s="42"/>
    </row>
    <row r="1033" spans="1:11" ht="18.75" customHeight="1" x14ac:dyDescent="0.25">
      <c r="A1033" s="132" t="s">
        <v>1318</v>
      </c>
      <c r="B1033" s="332" t="s">
        <v>627</v>
      </c>
      <c r="C1033" s="42"/>
      <c r="D1033" s="42"/>
      <c r="E1033" s="42"/>
      <c r="F1033" s="42"/>
      <c r="G1033" s="42"/>
      <c r="H1033" s="30"/>
      <c r="I1033" s="31"/>
      <c r="J1033" s="42"/>
      <c r="K1033" s="42"/>
    </row>
    <row r="1034" spans="1:11" ht="18.75" customHeight="1" x14ac:dyDescent="0.25">
      <c r="A1034" s="132"/>
      <c r="B1034" s="247" t="s">
        <v>187</v>
      </c>
      <c r="C1034" s="247"/>
      <c r="D1034" s="247"/>
      <c r="E1034" s="247"/>
      <c r="F1034" s="57" t="s">
        <v>203</v>
      </c>
      <c r="G1034" s="77">
        <f>'Process (2)'!G244</f>
        <v>0.45</v>
      </c>
      <c r="H1034" s="259" t="s">
        <v>2</v>
      </c>
      <c r="I1034" s="42"/>
      <c r="J1034" s="42"/>
      <c r="K1034" s="42"/>
    </row>
    <row r="1035" spans="1:11" ht="18.75" customHeight="1" x14ac:dyDescent="0.25">
      <c r="A1035" s="132"/>
      <c r="B1035" s="551" t="s">
        <v>188</v>
      </c>
      <c r="C1035" s="247"/>
      <c r="D1035" s="298" t="s">
        <v>889</v>
      </c>
      <c r="E1035" s="77">
        <f>'Process (2)'!E245</f>
        <v>1</v>
      </c>
      <c r="F1035" s="78" t="s">
        <v>157</v>
      </c>
      <c r="G1035" s="206" t="s">
        <v>924</v>
      </c>
      <c r="H1035" s="77">
        <f>'Process (2)'!H245</f>
        <v>11</v>
      </c>
      <c r="I1035" s="78" t="s">
        <v>190</v>
      </c>
      <c r="J1035" s="42"/>
      <c r="K1035" s="42"/>
    </row>
    <row r="1036" spans="1:11" ht="18.75" customHeight="1" x14ac:dyDescent="0.25">
      <c r="A1036" s="132"/>
      <c r="B1036" s="551" t="s">
        <v>189</v>
      </c>
      <c r="C1036" s="247"/>
      <c r="D1036" s="298" t="s">
        <v>890</v>
      </c>
      <c r="E1036" s="77">
        <f>'Process (2)'!E246</f>
        <v>1</v>
      </c>
      <c r="F1036" s="78" t="s">
        <v>157</v>
      </c>
      <c r="G1036" s="206" t="s">
        <v>925</v>
      </c>
      <c r="H1036" s="77">
        <f>'Process (2)'!H246</f>
        <v>19</v>
      </c>
      <c r="I1036" s="78" t="s">
        <v>190</v>
      </c>
      <c r="J1036" s="42"/>
      <c r="K1036" s="42"/>
    </row>
    <row r="1037" spans="1:11" ht="18.75" customHeight="1" x14ac:dyDescent="0.25">
      <c r="A1037" s="132"/>
      <c r="B1037" s="247" t="str">
        <f>IF('Input (1)'!H491&lt;3,"","Jumlah tendon baris ke-3 :")</f>
        <v/>
      </c>
      <c r="C1037" s="247"/>
      <c r="D1037" s="298" t="s">
        <v>891</v>
      </c>
      <c r="E1037" s="77">
        <f>'Process (2)'!E247</f>
        <v>1</v>
      </c>
      <c r="F1037" s="78" t="s">
        <v>157</v>
      </c>
      <c r="G1037" s="206" t="s">
        <v>926</v>
      </c>
      <c r="H1037" s="77">
        <f>'Process (2)'!H247</f>
        <v>19</v>
      </c>
      <c r="I1037" s="78" t="s">
        <v>190</v>
      </c>
      <c r="J1037" s="42"/>
      <c r="K1037" s="42"/>
    </row>
    <row r="1038" spans="1:11" ht="18.75" customHeight="1" x14ac:dyDescent="0.25">
      <c r="A1038" s="132"/>
      <c r="B1038" s="247" t="str">
        <f>IF('Input (1)'!H491&lt;4,"","Jumlah tendon baris ke-4 :")</f>
        <v/>
      </c>
      <c r="C1038" s="247"/>
      <c r="D1038" s="298" t="s">
        <v>892</v>
      </c>
      <c r="E1038" s="77">
        <f>'Process (2)'!E248</f>
        <v>1</v>
      </c>
      <c r="F1038" s="78" t="s">
        <v>157</v>
      </c>
      <c r="G1038" s="206" t="s">
        <v>927</v>
      </c>
      <c r="H1038" s="77">
        <f>'Process (2)'!H248</f>
        <v>19</v>
      </c>
      <c r="I1038" s="78" t="s">
        <v>190</v>
      </c>
      <c r="J1038" s="42"/>
      <c r="K1038" s="42"/>
    </row>
    <row r="1039" spans="1:11" ht="18.75" customHeight="1" x14ac:dyDescent="0.25">
      <c r="A1039" s="132"/>
      <c r="B1039" s="247"/>
      <c r="C1039" s="247"/>
      <c r="D1039" s="298" t="s">
        <v>893</v>
      </c>
      <c r="E1039" s="77">
        <f>'Process (2)'!E249</f>
        <v>4</v>
      </c>
      <c r="F1039" s="78" t="s">
        <v>157</v>
      </c>
      <c r="G1039" s="206" t="s">
        <v>162</v>
      </c>
      <c r="H1039" s="77">
        <f>'Process (2)'!H249</f>
        <v>68</v>
      </c>
      <c r="I1039" s="78" t="s">
        <v>190</v>
      </c>
      <c r="J1039" s="42"/>
      <c r="K1039" s="42"/>
    </row>
    <row r="1040" spans="1:11" ht="18.75" customHeight="1" x14ac:dyDescent="0.25">
      <c r="A1040" s="132"/>
      <c r="B1040" s="42"/>
      <c r="C1040" s="42"/>
      <c r="D1040" s="42"/>
      <c r="E1040" s="42"/>
      <c r="F1040" s="42"/>
      <c r="G1040" s="42"/>
      <c r="H1040" s="30"/>
      <c r="I1040" s="31"/>
      <c r="J1040" s="42"/>
      <c r="K1040" s="42"/>
    </row>
    <row r="1041" spans="1:11" ht="18.75" customHeight="1" x14ac:dyDescent="0.25">
      <c r="A1041" s="132"/>
      <c r="B1041" s="42" t="s">
        <v>197</v>
      </c>
      <c r="C1041" s="42"/>
      <c r="D1041" s="42"/>
      <c r="E1041" s="42"/>
      <c r="F1041" s="42"/>
      <c r="G1041" s="42"/>
      <c r="H1041" s="30"/>
      <c r="I1041" s="31"/>
      <c r="J1041" s="42"/>
      <c r="K1041" s="42"/>
    </row>
    <row r="1042" spans="1:11" ht="18.75" customHeight="1" x14ac:dyDescent="0.25">
      <c r="A1042" s="132"/>
      <c r="B1042" s="42"/>
      <c r="C1042" s="207" t="s">
        <v>894</v>
      </c>
      <c r="D1042" s="207" t="s">
        <v>899</v>
      </c>
      <c r="E1042" s="207" t="s">
        <v>900</v>
      </c>
      <c r="F1042" s="42"/>
      <c r="G1042" s="42"/>
      <c r="H1042" s="30"/>
      <c r="I1042" s="31"/>
      <c r="J1042" s="42"/>
      <c r="K1042" s="42"/>
    </row>
    <row r="1043" spans="1:11" ht="18.75" customHeight="1" x14ac:dyDescent="0.25">
      <c r="A1043" s="132"/>
      <c r="B1043" s="42"/>
      <c r="C1043" s="207">
        <f>'Process (2)'!C253</f>
        <v>11</v>
      </c>
      <c r="D1043" s="189">
        <v>3</v>
      </c>
      <c r="E1043" s="207">
        <f>'Process (2)'!E253</f>
        <v>33</v>
      </c>
      <c r="F1043" s="42"/>
      <c r="G1043" s="42"/>
      <c r="H1043" s="30"/>
      <c r="I1043" s="31"/>
      <c r="J1043" s="42"/>
      <c r="K1043" s="42"/>
    </row>
    <row r="1044" spans="1:11" ht="18.75" customHeight="1" x14ac:dyDescent="0.25">
      <c r="A1044" s="132"/>
      <c r="B1044" s="42"/>
      <c r="C1044" s="207">
        <f>'Process (2)'!C254</f>
        <v>19</v>
      </c>
      <c r="D1044" s="189">
        <v>2</v>
      </c>
      <c r="E1044" s="207">
        <f>'Process (2)'!E254</f>
        <v>38</v>
      </c>
      <c r="F1044" s="42"/>
      <c r="G1044" s="42"/>
      <c r="H1044" s="30"/>
      <c r="I1044" s="31"/>
      <c r="J1044" s="42"/>
      <c r="K1044" s="42"/>
    </row>
    <row r="1045" spans="1:11" ht="18.75" customHeight="1" x14ac:dyDescent="0.25">
      <c r="A1045" s="132"/>
      <c r="B1045" s="42"/>
      <c r="C1045" s="207">
        <f>'Process (2)'!C255</f>
        <v>19</v>
      </c>
      <c r="D1045" s="189">
        <v>1</v>
      </c>
      <c r="E1045" s="207">
        <f>'Process (2)'!E255</f>
        <v>19</v>
      </c>
      <c r="F1045" s="42"/>
      <c r="G1045" s="42"/>
      <c r="H1045" s="30"/>
      <c r="I1045" s="31"/>
      <c r="J1045" s="42"/>
      <c r="K1045" s="42"/>
    </row>
    <row r="1046" spans="1:11" ht="18.75" customHeight="1" x14ac:dyDescent="0.25">
      <c r="A1046" s="132"/>
      <c r="B1046" s="42"/>
      <c r="C1046" s="207">
        <f>'Process (2)'!C256</f>
        <v>19</v>
      </c>
      <c r="D1046" s="189">
        <v>0</v>
      </c>
      <c r="E1046" s="207">
        <f>'Process (2)'!E256</f>
        <v>0</v>
      </c>
      <c r="F1046" s="42"/>
      <c r="G1046" s="42"/>
      <c r="H1046" s="30"/>
      <c r="I1046" s="31"/>
      <c r="J1046" s="42"/>
      <c r="K1046" s="42"/>
    </row>
    <row r="1047" spans="1:11" ht="18.75" customHeight="1" x14ac:dyDescent="0.25">
      <c r="A1047" s="132"/>
      <c r="B1047" s="42"/>
      <c r="C1047" s="619" t="s">
        <v>901</v>
      </c>
      <c r="D1047" s="619"/>
      <c r="E1047" s="207">
        <f>'Process (2)'!E257</f>
        <v>90</v>
      </c>
      <c r="F1047" s="42"/>
      <c r="G1047" s="42"/>
      <c r="H1047" s="30"/>
      <c r="I1047" s="31"/>
      <c r="J1047" s="42"/>
      <c r="K1047" s="42"/>
    </row>
    <row r="1048" spans="1:11" ht="18.75" customHeight="1" x14ac:dyDescent="0.25">
      <c r="A1048" s="132"/>
      <c r="B1048" s="42"/>
      <c r="C1048" s="35"/>
      <c r="D1048" s="35"/>
      <c r="E1048" s="31"/>
      <c r="F1048" s="42"/>
      <c r="G1048" s="42"/>
      <c r="H1048" s="30"/>
      <c r="I1048" s="31"/>
      <c r="J1048" s="42"/>
      <c r="K1048" s="42"/>
    </row>
    <row r="1049" spans="1:11" ht="18.75" customHeight="1" x14ac:dyDescent="0.25">
      <c r="A1049" s="132"/>
      <c r="B1049" s="42" t="s">
        <v>196</v>
      </c>
      <c r="C1049" s="42"/>
      <c r="D1049" s="42"/>
      <c r="E1049" s="42"/>
      <c r="F1049" s="42"/>
      <c r="G1049" s="30" t="s">
        <v>150</v>
      </c>
      <c r="H1049" s="459">
        <f>'Process (2)'!H259</f>
        <v>1.0119504630245026</v>
      </c>
      <c r="I1049" s="32" t="s">
        <v>2</v>
      </c>
      <c r="J1049" s="42"/>
      <c r="K1049" s="42"/>
    </row>
    <row r="1050" spans="1:11" ht="18.75" customHeight="1" x14ac:dyDescent="0.25">
      <c r="A1050" s="132"/>
      <c r="B1050" s="42" t="s">
        <v>198</v>
      </c>
      <c r="C1050" s="42"/>
      <c r="D1050" s="42"/>
      <c r="E1050" s="42"/>
      <c r="F1050" s="42"/>
      <c r="G1050" s="30" t="s">
        <v>902</v>
      </c>
      <c r="H1050" s="459">
        <f>'Process (2)'!H260</f>
        <v>0.56195046302450269</v>
      </c>
      <c r="I1050" s="32" t="s">
        <v>2</v>
      </c>
      <c r="J1050" s="42"/>
      <c r="K1050" s="42"/>
    </row>
    <row r="1051" spans="1:11" ht="18.75" customHeight="1" x14ac:dyDescent="0.25">
      <c r="A1051" s="132"/>
      <c r="B1051" s="42" t="s">
        <v>199</v>
      </c>
      <c r="C1051" s="42"/>
      <c r="D1051" s="42"/>
      <c r="E1051" s="42"/>
      <c r="F1051" s="42"/>
      <c r="I1051" s="32"/>
      <c r="J1051" s="42"/>
      <c r="K1051" s="42"/>
    </row>
    <row r="1052" spans="1:11" ht="18.75" customHeight="1" x14ac:dyDescent="0.25">
      <c r="A1052" s="132"/>
      <c r="B1052" s="42"/>
      <c r="C1052" s="42"/>
      <c r="D1052" s="42"/>
      <c r="E1052" s="42"/>
      <c r="F1052" s="42"/>
      <c r="G1052" s="30" t="s">
        <v>903</v>
      </c>
      <c r="H1052" s="459">
        <f>'Process (2)'!H261</f>
        <v>1.3235294117647058</v>
      </c>
      <c r="I1052" s="32"/>
      <c r="J1052" s="42"/>
      <c r="K1052" s="42"/>
    </row>
    <row r="1053" spans="1:11" ht="18.75" customHeight="1" x14ac:dyDescent="0.25">
      <c r="A1053" s="132"/>
      <c r="B1053" s="42" t="s">
        <v>200</v>
      </c>
      <c r="C1053" s="42"/>
      <c r="D1053" s="42"/>
      <c r="E1053" s="42"/>
      <c r="F1053" s="42"/>
      <c r="G1053" s="30" t="s">
        <v>904</v>
      </c>
      <c r="H1053" s="207">
        <f>'Process (2)'!H262</f>
        <v>430</v>
      </c>
      <c r="I1053" s="32" t="s">
        <v>5</v>
      </c>
      <c r="J1053" s="42"/>
      <c r="K1053" s="42"/>
    </row>
    <row r="1054" spans="1:11" ht="18.75" customHeight="1" x14ac:dyDescent="0.25">
      <c r="A1054" s="132"/>
      <c r="B1054" s="42" t="s">
        <v>192</v>
      </c>
      <c r="C1054" s="42"/>
      <c r="D1054" s="42"/>
      <c r="E1054" s="42"/>
      <c r="F1054" s="42"/>
      <c r="G1054" s="30" t="s">
        <v>905</v>
      </c>
      <c r="H1054" s="207">
        <f>'Process (2)'!H263</f>
        <v>880</v>
      </c>
      <c r="I1054" s="32" t="s">
        <v>5</v>
      </c>
      <c r="J1054" s="42"/>
      <c r="K1054" s="42"/>
    </row>
    <row r="1055" spans="1:11" ht="18.75" customHeight="1" x14ac:dyDescent="0.25">
      <c r="A1055" s="132"/>
      <c r="B1055" s="42" t="s">
        <v>921</v>
      </c>
      <c r="C1055" s="42"/>
      <c r="D1055" s="42"/>
      <c r="E1055" s="42"/>
      <c r="F1055" s="42"/>
      <c r="G1055" s="31"/>
      <c r="H1055" s="32"/>
      <c r="I1055" s="119"/>
      <c r="J1055" s="42"/>
      <c r="K1055" s="42"/>
    </row>
    <row r="1056" spans="1:11" ht="18.75" customHeight="1" x14ac:dyDescent="0.25">
      <c r="A1056" s="132"/>
      <c r="B1056" s="42" t="s">
        <v>429</v>
      </c>
      <c r="C1056" s="31" t="s">
        <v>923</v>
      </c>
      <c r="D1056" s="115" t="s">
        <v>532</v>
      </c>
      <c r="E1056" s="296">
        <v>25</v>
      </c>
      <c r="F1056" s="42"/>
      <c r="G1056" s="57"/>
      <c r="H1056" s="112"/>
      <c r="I1056" s="119"/>
      <c r="J1056" s="42"/>
      <c r="K1056" s="42"/>
    </row>
    <row r="1057" spans="1:11" ht="18.75" customHeight="1" x14ac:dyDescent="0.25">
      <c r="A1057" s="132"/>
      <c r="B1057" s="42"/>
      <c r="C1057" s="297">
        <f>'Process (2)'!C266</f>
        <v>430</v>
      </c>
      <c r="D1057" s="115" t="s">
        <v>532</v>
      </c>
      <c r="E1057" s="297">
        <f>'Process (2)'!E266</f>
        <v>25</v>
      </c>
      <c r="F1057" s="42"/>
      <c r="G1057" s="339" t="s">
        <v>363</v>
      </c>
      <c r="H1057" s="439" t="str">
        <f>IF(C1057&gt;E1057,"[ OK ]","[ NOT OK ]")</f>
        <v>[ OK ]</v>
      </c>
      <c r="I1057" s="119"/>
      <c r="J1057" s="42"/>
      <c r="K1057" s="42"/>
    </row>
    <row r="1058" spans="1:11" ht="18.75" customHeight="1" x14ac:dyDescent="0.25">
      <c r="A1058" s="132"/>
      <c r="B1058" s="42"/>
      <c r="C1058" s="42"/>
      <c r="D1058" s="42"/>
      <c r="E1058" s="42"/>
      <c r="F1058" s="42"/>
      <c r="G1058" s="42"/>
      <c r="H1058" s="30"/>
      <c r="I1058" s="31"/>
      <c r="J1058" s="42"/>
      <c r="K1058" s="42"/>
    </row>
    <row r="1059" spans="1:11" ht="18.75" customHeight="1" x14ac:dyDescent="0.25">
      <c r="A1059" s="132"/>
      <c r="B1059" s="42"/>
      <c r="C1059" s="42"/>
      <c r="D1059" s="42"/>
      <c r="E1059" s="42"/>
      <c r="F1059" s="42"/>
      <c r="G1059" s="42"/>
      <c r="H1059" s="30"/>
      <c r="I1059" s="31"/>
      <c r="J1059" s="42"/>
      <c r="K1059" s="42"/>
    </row>
    <row r="1060" spans="1:11" ht="18.75" customHeight="1" x14ac:dyDescent="0.25">
      <c r="A1060" s="132"/>
      <c r="B1060" s="42"/>
      <c r="C1060" s="42"/>
      <c r="D1060" s="42"/>
      <c r="E1060" s="42"/>
      <c r="F1060" s="42"/>
      <c r="G1060" s="42"/>
      <c r="H1060" s="30"/>
      <c r="I1060" s="31"/>
      <c r="J1060" s="42"/>
      <c r="K1060" s="42"/>
    </row>
    <row r="1061" spans="1:11" ht="18.75" customHeight="1" x14ac:dyDescent="0.25">
      <c r="A1061" s="132"/>
      <c r="B1061" s="42"/>
      <c r="C1061" s="42"/>
      <c r="D1061" s="42"/>
      <c r="E1061" s="42"/>
      <c r="F1061" s="42"/>
      <c r="G1061" s="42"/>
      <c r="H1061" s="30"/>
      <c r="I1061" s="31"/>
      <c r="J1061" s="42"/>
      <c r="K1061" s="42"/>
    </row>
    <row r="1062" spans="1:11" ht="18.75" customHeight="1" x14ac:dyDescent="0.25">
      <c r="A1062" s="132"/>
      <c r="B1062" s="42"/>
      <c r="C1062" s="42"/>
      <c r="D1062" s="42"/>
      <c r="E1062" s="42"/>
      <c r="F1062" s="42"/>
      <c r="G1062" s="42"/>
      <c r="H1062" s="30"/>
      <c r="I1062" s="31"/>
      <c r="J1062" s="42"/>
      <c r="K1062" s="42"/>
    </row>
    <row r="1063" spans="1:11" ht="18.75" customHeight="1" x14ac:dyDescent="0.25">
      <c r="A1063" s="132"/>
      <c r="B1063" s="42"/>
      <c r="C1063" s="42"/>
      <c r="D1063" s="42"/>
      <c r="E1063" s="42"/>
      <c r="F1063" s="42"/>
      <c r="G1063" s="42"/>
      <c r="H1063" s="30"/>
      <c r="I1063" s="31"/>
      <c r="J1063" s="42"/>
      <c r="K1063" s="42"/>
    </row>
    <row r="1064" spans="1:11" ht="18.75" customHeight="1" x14ac:dyDescent="0.25">
      <c r="A1064" s="132"/>
      <c r="B1064" s="42"/>
      <c r="C1064" s="42"/>
      <c r="D1064" s="42"/>
      <c r="E1064" s="42"/>
      <c r="F1064" s="42"/>
      <c r="G1064" s="42"/>
      <c r="H1064" s="30"/>
      <c r="I1064" s="31"/>
      <c r="J1064" s="42"/>
      <c r="K1064" s="42"/>
    </row>
    <row r="1065" spans="1:11" ht="18.75" customHeight="1" x14ac:dyDescent="0.25">
      <c r="A1065" s="132"/>
      <c r="B1065" s="42"/>
      <c r="C1065" s="42"/>
      <c r="D1065" s="42"/>
      <c r="E1065" s="42"/>
      <c r="F1065" s="42"/>
      <c r="G1065" s="42"/>
      <c r="H1065" s="30"/>
      <c r="I1065" s="31"/>
      <c r="J1065" s="42"/>
      <c r="K1065" s="42"/>
    </row>
    <row r="1066" spans="1:11" ht="18.75" customHeight="1" x14ac:dyDescent="0.25">
      <c r="A1066" s="132"/>
      <c r="B1066" s="42"/>
      <c r="C1066" s="42"/>
      <c r="D1066" s="42"/>
      <c r="E1066" s="42"/>
      <c r="F1066" s="42"/>
      <c r="G1066" s="42"/>
      <c r="H1066" s="30"/>
      <c r="I1066" s="31"/>
      <c r="J1066" s="42"/>
      <c r="K1066" s="42"/>
    </row>
    <row r="1067" spans="1:11" ht="18.75" customHeight="1" x14ac:dyDescent="0.25">
      <c r="A1067" s="132"/>
      <c r="B1067" s="42"/>
      <c r="C1067" s="42"/>
      <c r="D1067" s="42"/>
      <c r="E1067" s="42"/>
      <c r="F1067" s="42"/>
      <c r="G1067" s="42"/>
      <c r="H1067" s="30"/>
      <c r="I1067" s="31"/>
      <c r="J1067" s="42"/>
      <c r="K1067" s="42"/>
    </row>
    <row r="1068" spans="1:11" ht="18.75" customHeight="1" x14ac:dyDescent="0.25">
      <c r="A1068" s="132"/>
      <c r="B1068" s="42"/>
      <c r="C1068" s="42"/>
      <c r="D1068" s="42"/>
      <c r="E1068" s="42"/>
      <c r="F1068" s="42"/>
      <c r="G1068" s="42"/>
      <c r="H1068" s="30"/>
      <c r="I1068" s="31"/>
      <c r="J1068" s="42"/>
      <c r="K1068" s="42"/>
    </row>
    <row r="1069" spans="1:11" ht="18.75" customHeight="1" x14ac:dyDescent="0.25">
      <c r="A1069" s="132"/>
      <c r="B1069" s="42"/>
      <c r="C1069" s="42"/>
      <c r="D1069" s="42"/>
      <c r="E1069" s="42"/>
      <c r="F1069" s="42"/>
      <c r="G1069" s="42"/>
      <c r="H1069" s="30"/>
      <c r="I1069" s="31"/>
      <c r="J1069" s="42"/>
      <c r="K1069" s="42"/>
    </row>
    <row r="1070" spans="1:11" ht="18.75" customHeight="1" x14ac:dyDescent="0.25">
      <c r="A1070" s="132" t="s">
        <v>1319</v>
      </c>
      <c r="B1070" s="154" t="s">
        <v>627</v>
      </c>
    </row>
    <row r="1071" spans="1:11" ht="18.75" customHeight="1" x14ac:dyDescent="0.25">
      <c r="A1071" s="42"/>
      <c r="B1071" s="620" t="s">
        <v>201</v>
      </c>
      <c r="C1071" s="676" t="s">
        <v>202</v>
      </c>
      <c r="D1071" s="677"/>
      <c r="E1071" s="677"/>
      <c r="F1071" s="677"/>
      <c r="G1071" s="678"/>
      <c r="H1071" s="491" t="s">
        <v>906</v>
      </c>
      <c r="I1071" s="492"/>
    </row>
    <row r="1072" spans="1:11" ht="18.75" customHeight="1" x14ac:dyDescent="0.25">
      <c r="A1072" s="42"/>
      <c r="B1072" s="620"/>
      <c r="C1072" s="558" t="s">
        <v>1262</v>
      </c>
      <c r="D1072" s="557">
        <v>0</v>
      </c>
      <c r="E1072" s="556" t="s">
        <v>2</v>
      </c>
      <c r="F1072" s="552"/>
      <c r="G1072" s="553"/>
      <c r="H1072" s="491" t="s">
        <v>46</v>
      </c>
      <c r="I1072" s="492"/>
    </row>
    <row r="1073" spans="1:9" ht="18.75" customHeight="1" x14ac:dyDescent="0.25">
      <c r="A1073" s="42"/>
      <c r="B1073" s="13">
        <f>'Process (2)'!P270</f>
        <v>1</v>
      </c>
      <c r="C1073" s="658" t="str">
        <f>'Process (2)'!Q270</f>
        <v>z1' = a' + 3 * yd'</v>
      </c>
      <c r="D1073" s="659"/>
      <c r="E1073" s="659"/>
      <c r="F1073" s="554"/>
      <c r="G1073" s="555"/>
      <c r="H1073" s="6">
        <f>'Process (2)'!R270</f>
        <v>1.74</v>
      </c>
      <c r="I1073" s="479"/>
    </row>
    <row r="1074" spans="1:9" ht="18.75" customHeight="1" x14ac:dyDescent="0.25">
      <c r="A1074" s="42"/>
      <c r="B1074" s="13">
        <f>'Process (2)'!P271</f>
        <v>2</v>
      </c>
      <c r="C1074" s="658" t="str">
        <f>'Process (2)'!Q271</f>
        <v>z2' = a' + 2 * yd'</v>
      </c>
      <c r="D1074" s="659"/>
      <c r="E1074" s="659"/>
      <c r="F1074" s="554"/>
      <c r="G1074" s="555"/>
      <c r="H1074" s="6">
        <f>'Process (2)'!R271</f>
        <v>1.31</v>
      </c>
      <c r="I1074" s="479"/>
    </row>
    <row r="1075" spans="1:9" ht="18.75" customHeight="1" x14ac:dyDescent="0.25">
      <c r="A1075" s="42"/>
      <c r="B1075" s="13">
        <f>'Process (2)'!P272</f>
        <v>3</v>
      </c>
      <c r="C1075" s="658" t="str">
        <f>'Process (2)'!Q272</f>
        <v>z3' = a' + yd'</v>
      </c>
      <c r="D1075" s="659"/>
      <c r="E1075" s="659"/>
      <c r="F1075" s="554"/>
      <c r="G1075" s="555"/>
      <c r="H1075" s="6">
        <f>'Process (2)'!R272</f>
        <v>0.88</v>
      </c>
      <c r="I1075" s="479"/>
    </row>
    <row r="1076" spans="1:9" ht="18.75" customHeight="1" x14ac:dyDescent="0.25">
      <c r="A1076" s="42"/>
      <c r="B1076" s="13">
        <f>'Process (2)'!P273</f>
        <v>4</v>
      </c>
      <c r="C1076" s="658" t="str">
        <f>'Process (2)'!Q273</f>
        <v>z4' = a'</v>
      </c>
      <c r="D1076" s="659"/>
      <c r="E1076" s="659"/>
      <c r="F1076" s="554"/>
      <c r="G1076" s="555"/>
      <c r="H1076" s="6">
        <f>'Process (2)'!R273</f>
        <v>0.45</v>
      </c>
      <c r="I1076" s="479"/>
    </row>
    <row r="1077" spans="1:9" ht="18.75" customHeight="1" x14ac:dyDescent="0.25">
      <c r="A1077" s="42"/>
      <c r="B1077" s="38"/>
      <c r="C1077" s="39"/>
      <c r="D1077" s="39"/>
      <c r="E1077" s="39"/>
      <c r="H1077" s="39"/>
      <c r="I1077" s="40"/>
    </row>
    <row r="1078" spans="1:9" ht="18.75" customHeight="1" x14ac:dyDescent="0.25">
      <c r="A1078" s="42"/>
      <c r="B1078" s="41"/>
      <c r="C1078" s="42"/>
      <c r="D1078" s="42"/>
      <c r="E1078" s="42"/>
      <c r="H1078" s="42"/>
      <c r="I1078" s="43"/>
    </row>
    <row r="1079" spans="1:9" ht="18.75" customHeight="1" x14ac:dyDescent="0.25">
      <c r="A1079" s="42"/>
      <c r="B1079" s="41"/>
      <c r="C1079" s="42"/>
      <c r="D1079" s="42"/>
      <c r="E1079" s="42"/>
      <c r="H1079" s="42"/>
      <c r="I1079" s="43"/>
    </row>
    <row r="1080" spans="1:9" ht="18.75" customHeight="1" x14ac:dyDescent="0.25">
      <c r="A1080" s="42"/>
      <c r="B1080" s="41"/>
      <c r="C1080" s="42"/>
      <c r="D1080" s="42"/>
      <c r="E1080" s="42"/>
      <c r="H1080" s="42"/>
      <c r="I1080" s="43"/>
    </row>
    <row r="1081" spans="1:9" ht="18.75" customHeight="1" x14ac:dyDescent="0.25">
      <c r="A1081" s="42"/>
      <c r="B1081" s="41"/>
      <c r="C1081" s="42"/>
      <c r="D1081" s="42"/>
      <c r="E1081" s="42"/>
      <c r="H1081" s="42"/>
      <c r="I1081" s="43"/>
    </row>
    <row r="1082" spans="1:9" ht="18.75" customHeight="1" x14ac:dyDescent="0.25">
      <c r="A1082" s="42"/>
      <c r="B1082" s="41"/>
      <c r="C1082" s="42"/>
      <c r="D1082" s="42"/>
      <c r="E1082" s="42"/>
      <c r="H1082" s="42"/>
      <c r="I1082" s="43"/>
    </row>
    <row r="1083" spans="1:9" ht="18.75" customHeight="1" x14ac:dyDescent="0.25">
      <c r="A1083" s="42"/>
      <c r="B1083" s="41"/>
      <c r="C1083" s="42"/>
      <c r="D1083" s="42"/>
      <c r="E1083" s="42"/>
      <c r="H1083" s="42"/>
      <c r="I1083" s="43"/>
    </row>
    <row r="1084" spans="1:9" ht="18.75" customHeight="1" x14ac:dyDescent="0.25">
      <c r="A1084" s="42"/>
      <c r="B1084" s="41"/>
      <c r="C1084" s="42"/>
      <c r="D1084" s="42"/>
      <c r="E1084" s="42"/>
      <c r="H1084" s="42"/>
      <c r="I1084" s="43"/>
    </row>
    <row r="1085" spans="1:9" ht="18.75" customHeight="1" x14ac:dyDescent="0.25">
      <c r="A1085" s="42"/>
      <c r="B1085" s="41"/>
      <c r="C1085" s="42"/>
      <c r="D1085" s="42"/>
      <c r="E1085" s="42"/>
      <c r="H1085" s="42"/>
      <c r="I1085" s="46"/>
    </row>
    <row r="1086" spans="1:9" ht="18.75" customHeight="1" x14ac:dyDescent="0.25">
      <c r="A1086" s="328"/>
      <c r="B1086" s="620" t="s">
        <v>201</v>
      </c>
      <c r="C1086" s="679" t="s">
        <v>987</v>
      </c>
      <c r="D1086" s="680"/>
      <c r="E1086" s="680"/>
      <c r="F1086" s="680"/>
      <c r="G1086" s="681"/>
      <c r="H1086" s="491" t="s">
        <v>907</v>
      </c>
      <c r="I1086" s="491" t="s">
        <v>908</v>
      </c>
    </row>
    <row r="1087" spans="1:9" ht="18.75" customHeight="1" x14ac:dyDescent="0.25">
      <c r="A1087" s="328"/>
      <c r="B1087" s="620"/>
      <c r="C1087" s="558" t="s">
        <v>1262</v>
      </c>
      <c r="D1087" s="557">
        <f>'Process (2)'!T269</f>
        <v>20</v>
      </c>
      <c r="E1087" s="556" t="s">
        <v>2</v>
      </c>
      <c r="F1087" s="552"/>
      <c r="G1087" s="553"/>
      <c r="H1087" s="491" t="s">
        <v>46</v>
      </c>
      <c r="I1087" s="491" t="s">
        <v>46</v>
      </c>
    </row>
    <row r="1088" spans="1:9" ht="18.75" customHeight="1" x14ac:dyDescent="0.25">
      <c r="A1088" s="328"/>
      <c r="B1088" s="13">
        <f>'Process (2)'!S270</f>
        <v>1</v>
      </c>
      <c r="C1088" s="658" t="str">
        <f>'Process (2)'!T270</f>
        <v>z1 = a + yd</v>
      </c>
      <c r="D1088" s="659"/>
      <c r="E1088" s="659"/>
      <c r="F1088" s="554"/>
      <c r="G1088" s="555"/>
      <c r="H1088" s="207">
        <f>'Process (2)'!U270</f>
        <v>0.41000000000000003</v>
      </c>
      <c r="I1088" s="207">
        <f>'Process (2)'!V270</f>
        <v>1.33</v>
      </c>
    </row>
    <row r="1089" spans="1:9" ht="18.75" customHeight="1" x14ac:dyDescent="0.25">
      <c r="A1089" s="328"/>
      <c r="B1089" s="13">
        <f>'Process (2)'!S271</f>
        <v>2</v>
      </c>
      <c r="C1089" s="658" t="str">
        <f>'Process (2)'!T271</f>
        <v>z2 = a</v>
      </c>
      <c r="D1089" s="659"/>
      <c r="E1089" s="659"/>
      <c r="F1089" s="554"/>
      <c r="G1089" s="555"/>
      <c r="H1089" s="207">
        <f>'Process (2)'!U271</f>
        <v>0.16</v>
      </c>
      <c r="I1089" s="207">
        <f>'Process (2)'!V271</f>
        <v>1.1500000000000001</v>
      </c>
    </row>
    <row r="1090" spans="1:9" ht="18.75" customHeight="1" x14ac:dyDescent="0.25">
      <c r="A1090" s="328"/>
      <c r="B1090" s="13">
        <f>'Process (2)'!S272</f>
        <v>3</v>
      </c>
      <c r="C1090" s="658" t="str">
        <f>'Process (2)'!T272</f>
        <v>z3 = a</v>
      </c>
      <c r="D1090" s="659"/>
      <c r="E1090" s="659"/>
      <c r="F1090" s="554"/>
      <c r="G1090" s="555"/>
      <c r="H1090" s="207">
        <f>'Process (2)'!U272</f>
        <v>0.16</v>
      </c>
      <c r="I1090" s="6">
        <f>'Process (2)'!V272</f>
        <v>0.72</v>
      </c>
    </row>
    <row r="1091" spans="1:9" ht="18.75" customHeight="1" x14ac:dyDescent="0.25">
      <c r="A1091" s="328"/>
      <c r="B1091" s="13">
        <f>'Process (2)'!S273</f>
        <v>4</v>
      </c>
      <c r="C1091" s="658" t="str">
        <f>'Process (2)'!T273</f>
        <v>z4 = a</v>
      </c>
      <c r="D1091" s="659"/>
      <c r="E1091" s="659"/>
      <c r="F1091" s="554"/>
      <c r="G1091" s="555"/>
      <c r="H1091" s="207">
        <f>'Process (2)'!U273</f>
        <v>0.16</v>
      </c>
      <c r="I1091" s="6">
        <f>'Process (2)'!V273</f>
        <v>0.29000000000000004</v>
      </c>
    </row>
    <row r="1092" spans="1:9" ht="18.75" customHeight="1" x14ac:dyDescent="0.25">
      <c r="A1092" s="328"/>
      <c r="B1092" s="38"/>
      <c r="C1092" s="39"/>
      <c r="D1092" s="39"/>
      <c r="E1092" s="39"/>
      <c r="F1092" s="39"/>
      <c r="G1092" s="39"/>
      <c r="H1092" s="39"/>
      <c r="I1092" s="40"/>
    </row>
    <row r="1093" spans="1:9" ht="18.75" customHeight="1" x14ac:dyDescent="0.25">
      <c r="A1093" s="328"/>
      <c r="B1093" s="41"/>
      <c r="C1093" s="42"/>
      <c r="D1093" s="42"/>
      <c r="E1093" s="42"/>
      <c r="F1093" s="42"/>
      <c r="G1093" s="42"/>
      <c r="H1093" s="42"/>
      <c r="I1093" s="43"/>
    </row>
    <row r="1094" spans="1:9" ht="18.75" customHeight="1" x14ac:dyDescent="0.25">
      <c r="A1094" s="328"/>
      <c r="B1094" s="41"/>
      <c r="C1094" s="42"/>
      <c r="D1094" s="42"/>
      <c r="E1094" s="42"/>
      <c r="F1094" s="42"/>
      <c r="G1094" s="42"/>
      <c r="H1094" s="42"/>
      <c r="I1094" s="43"/>
    </row>
    <row r="1095" spans="1:9" ht="18.75" customHeight="1" x14ac:dyDescent="0.25">
      <c r="A1095" s="328"/>
      <c r="B1095" s="41"/>
      <c r="C1095" s="42"/>
      <c r="D1095" s="42"/>
      <c r="E1095" s="42"/>
      <c r="F1095" s="42"/>
      <c r="G1095" s="42"/>
      <c r="H1095" s="42"/>
      <c r="I1095" s="43"/>
    </row>
    <row r="1096" spans="1:9" ht="18.75" customHeight="1" x14ac:dyDescent="0.25">
      <c r="A1096" s="328"/>
      <c r="B1096" s="41"/>
      <c r="C1096" s="42"/>
      <c r="D1096" s="42"/>
      <c r="E1096" s="42"/>
      <c r="F1096" s="42"/>
      <c r="G1096" s="42"/>
      <c r="H1096" s="42"/>
      <c r="I1096" s="43"/>
    </row>
    <row r="1097" spans="1:9" ht="18.75" customHeight="1" x14ac:dyDescent="0.25">
      <c r="A1097" s="328"/>
      <c r="B1097" s="41"/>
      <c r="C1097" s="42"/>
      <c r="D1097" s="42"/>
      <c r="E1097" s="42"/>
      <c r="F1097" s="42"/>
      <c r="G1097" s="42"/>
      <c r="H1097" s="42"/>
      <c r="I1097" s="43"/>
    </row>
    <row r="1098" spans="1:9" ht="18.75" customHeight="1" x14ac:dyDescent="0.25">
      <c r="A1098" s="328"/>
      <c r="B1098" s="41"/>
      <c r="C1098" s="42"/>
      <c r="D1098" s="42"/>
      <c r="E1098" s="42"/>
      <c r="F1098" s="42"/>
      <c r="G1098" s="42"/>
      <c r="H1098" s="42"/>
      <c r="I1098" s="43"/>
    </row>
    <row r="1099" spans="1:9" ht="18.75" customHeight="1" x14ac:dyDescent="0.25">
      <c r="A1099" s="328"/>
      <c r="B1099" s="41"/>
      <c r="C1099" s="42"/>
      <c r="D1099" s="42"/>
      <c r="E1099" s="42"/>
      <c r="F1099" s="42"/>
      <c r="G1099" s="42"/>
      <c r="H1099" s="42"/>
      <c r="I1099" s="43"/>
    </row>
    <row r="1100" spans="1:9" ht="18.75" customHeight="1" x14ac:dyDescent="0.25">
      <c r="A1100" s="328"/>
      <c r="B1100" s="44"/>
      <c r="C1100" s="45"/>
      <c r="D1100" s="45"/>
      <c r="E1100" s="45"/>
      <c r="F1100" s="45"/>
      <c r="G1100" s="45"/>
      <c r="H1100" s="45"/>
      <c r="I1100" s="46"/>
    </row>
    <row r="1101" spans="1:9" ht="18.75" customHeight="1" x14ac:dyDescent="0.25">
      <c r="A1101" s="328"/>
    </row>
    <row r="1102" spans="1:9" ht="18.75" customHeight="1" x14ac:dyDescent="0.25">
      <c r="A1102" s="328"/>
    </row>
    <row r="1103" spans="1:9" ht="18.75" customHeight="1" x14ac:dyDescent="0.25">
      <c r="A1103" s="328"/>
    </row>
    <row r="1104" spans="1:9" ht="18.75" customHeight="1" x14ac:dyDescent="0.25">
      <c r="A1104" s="328"/>
    </row>
    <row r="1105" spans="1:12" ht="18.75" customHeight="1" x14ac:dyDescent="0.25">
      <c r="A1105" s="328"/>
    </row>
    <row r="1106" spans="1:12" ht="18.75" customHeight="1" x14ac:dyDescent="0.25">
      <c r="A1106" s="328"/>
    </row>
    <row r="1107" spans="1:12" ht="18.75" customHeight="1" x14ac:dyDescent="0.25">
      <c r="A1107" s="531" t="s">
        <v>1292</v>
      </c>
      <c r="B1107" s="482" t="s">
        <v>1263</v>
      </c>
      <c r="C1107" s="483"/>
      <c r="D1107" s="483"/>
      <c r="E1107" s="483"/>
      <c r="F1107" s="483"/>
      <c r="G1107" s="484"/>
      <c r="H1107" s="485"/>
      <c r="I1107" s="486"/>
    </row>
    <row r="1108" spans="1:12" ht="18.75" customHeight="1" x14ac:dyDescent="0.25">
      <c r="A1108" s="132" t="s">
        <v>629</v>
      </c>
      <c r="B1108" s="332" t="s">
        <v>630</v>
      </c>
      <c r="C1108" s="287"/>
      <c r="D1108" s="287"/>
      <c r="E1108" s="287"/>
      <c r="F1108" s="287"/>
      <c r="G1108" s="287"/>
      <c r="H1108" s="287"/>
      <c r="I1108" s="287"/>
      <c r="J1108" s="287"/>
      <c r="K1108" s="42"/>
      <c r="L1108" s="42"/>
    </row>
    <row r="1109" spans="1:12" ht="18.75" customHeight="1" x14ac:dyDescent="0.25">
      <c r="A1109" s="132"/>
      <c r="B1109" s="42" t="s">
        <v>20</v>
      </c>
      <c r="C1109" s="42"/>
      <c r="D1109" s="42"/>
      <c r="E1109" s="42"/>
      <c r="F1109" s="42"/>
      <c r="G1109" s="30" t="s">
        <v>21</v>
      </c>
      <c r="H1109" s="47">
        <f>'Process (3)'!I3</f>
        <v>40</v>
      </c>
      <c r="I1109" s="34" t="s">
        <v>2</v>
      </c>
      <c r="J1109" s="42"/>
      <c r="K1109" s="42"/>
    </row>
    <row r="1110" spans="1:12" ht="18.75" customHeight="1" x14ac:dyDescent="0.25">
      <c r="A1110" s="132"/>
      <c r="B1110" s="42" t="s">
        <v>138</v>
      </c>
      <c r="C1110" s="42"/>
      <c r="D1110" s="42"/>
      <c r="E1110" s="42"/>
      <c r="F1110" s="42"/>
      <c r="G1110" s="30" t="s">
        <v>204</v>
      </c>
      <c r="H1110" s="459">
        <f>'Process (3)'!I4</f>
        <v>0.81195046302450269</v>
      </c>
      <c r="I1110" s="34" t="s">
        <v>2</v>
      </c>
      <c r="J1110" s="42"/>
      <c r="K1110" s="42"/>
    </row>
    <row r="1111" spans="1:12" ht="18.75" customHeight="1" x14ac:dyDescent="0.35">
      <c r="A1111" s="132"/>
      <c r="B1111" s="287" t="s">
        <v>205</v>
      </c>
      <c r="C1111" s="287"/>
      <c r="D1111" s="287"/>
      <c r="E1111" s="287" t="s">
        <v>206</v>
      </c>
      <c r="G1111" s="287"/>
      <c r="H1111" s="287" t="s">
        <v>912</v>
      </c>
      <c r="I1111" s="287"/>
      <c r="J1111" s="42"/>
      <c r="K1111" s="42"/>
    </row>
    <row r="1112" spans="1:12" ht="18.75" customHeight="1" x14ac:dyDescent="0.25">
      <c r="A1112" s="132"/>
      <c r="B1112" s="287"/>
      <c r="C1112" s="287"/>
      <c r="D1112" s="287"/>
      <c r="E1112" s="287"/>
      <c r="F1112" s="287"/>
      <c r="G1112" s="287"/>
      <c r="H1112" s="287"/>
      <c r="I1112" s="287"/>
      <c r="J1112" s="287"/>
      <c r="K1112" s="42"/>
      <c r="L1112" s="42"/>
    </row>
    <row r="1113" spans="1:12" ht="18.75" customHeight="1" x14ac:dyDescent="0.25">
      <c r="A1113" s="132"/>
      <c r="B1113" s="287"/>
      <c r="C1113" s="287"/>
      <c r="D1113" s="287"/>
      <c r="E1113" s="287"/>
      <c r="F1113" s="287"/>
      <c r="G1113" s="287"/>
      <c r="H1113" s="287"/>
      <c r="I1113" s="287"/>
      <c r="J1113" s="287"/>
      <c r="K1113" s="42"/>
      <c r="L1113" s="42"/>
    </row>
    <row r="1114" spans="1:12" ht="18.75" customHeight="1" x14ac:dyDescent="0.25">
      <c r="A1114" s="132"/>
      <c r="B1114" s="287"/>
      <c r="C1114" s="287"/>
      <c r="D1114" s="287"/>
      <c r="E1114" s="287"/>
      <c r="F1114" s="287"/>
      <c r="G1114" s="287"/>
      <c r="H1114" s="287"/>
      <c r="I1114" s="287"/>
      <c r="J1114" s="287"/>
      <c r="K1114" s="42"/>
      <c r="L1114" s="42"/>
    </row>
    <row r="1115" spans="1:12" ht="18.75" customHeight="1" x14ac:dyDescent="0.25">
      <c r="A1115" s="132"/>
      <c r="B1115" s="287"/>
      <c r="C1115" s="287"/>
      <c r="D1115" s="287"/>
      <c r="E1115" s="287"/>
      <c r="F1115" s="287"/>
      <c r="G1115" s="287"/>
      <c r="H1115" s="287"/>
      <c r="I1115" s="287"/>
      <c r="J1115" s="287"/>
      <c r="K1115" s="42"/>
      <c r="L1115" s="42"/>
    </row>
    <row r="1116" spans="1:12" ht="18.75" customHeight="1" x14ac:dyDescent="0.25">
      <c r="A1116" s="132"/>
      <c r="B1116" s="287"/>
      <c r="C1116" s="287"/>
      <c r="D1116" s="287"/>
      <c r="E1116" s="287"/>
      <c r="F1116" s="287"/>
      <c r="G1116" s="287"/>
      <c r="H1116" s="287"/>
      <c r="I1116" s="287"/>
      <c r="J1116" s="287"/>
      <c r="K1116" s="42"/>
      <c r="L1116" s="42"/>
    </row>
    <row r="1117" spans="1:12" ht="18.75" customHeight="1" x14ac:dyDescent="0.25">
      <c r="A1117" s="132"/>
      <c r="B1117" s="287"/>
      <c r="C1117" s="287"/>
      <c r="D1117" s="287"/>
      <c r="E1117" s="287"/>
      <c r="F1117" s="287"/>
      <c r="G1117" s="287"/>
      <c r="H1117" s="287"/>
      <c r="I1117" s="287"/>
      <c r="J1117" s="287"/>
      <c r="K1117" s="42"/>
      <c r="L1117" s="42"/>
    </row>
    <row r="1118" spans="1:12" ht="18.75" customHeight="1" x14ac:dyDescent="0.25">
      <c r="A1118" s="132"/>
      <c r="B1118" s="287"/>
      <c r="C1118" s="287"/>
      <c r="D1118" s="287"/>
      <c r="E1118" s="287"/>
      <c r="F1118" s="287"/>
      <c r="G1118" s="287"/>
      <c r="H1118" s="287"/>
      <c r="I1118" s="287"/>
      <c r="J1118" s="287"/>
      <c r="K1118" s="42"/>
      <c r="L1118" s="42"/>
    </row>
    <row r="1119" spans="1:12" ht="18.75" customHeight="1" x14ac:dyDescent="0.25">
      <c r="A1119" s="132"/>
      <c r="B1119" s="287"/>
      <c r="C1119" s="287"/>
      <c r="D1119" s="287"/>
      <c r="E1119" s="287"/>
      <c r="F1119" s="287"/>
      <c r="G1119" s="287"/>
      <c r="H1119" s="287"/>
      <c r="I1119" s="287"/>
      <c r="J1119" s="287"/>
      <c r="K1119" s="42"/>
      <c r="L1119" s="42"/>
    </row>
    <row r="1120" spans="1:12" ht="18.75" customHeight="1" x14ac:dyDescent="0.25">
      <c r="A1120" s="132" t="s">
        <v>631</v>
      </c>
      <c r="B1120" s="332" t="s">
        <v>632</v>
      </c>
      <c r="C1120" s="287"/>
      <c r="D1120" s="287"/>
      <c r="E1120" s="287"/>
      <c r="F1120" s="287"/>
      <c r="G1120" s="287"/>
      <c r="H1120" s="287"/>
      <c r="I1120" s="287"/>
      <c r="J1120" s="287"/>
      <c r="K1120" s="42"/>
      <c r="L1120" s="42"/>
    </row>
    <row r="1121" spans="1:12" ht="18.75" customHeight="1" x14ac:dyDescent="0.25">
      <c r="A1121" s="132"/>
      <c r="B1121" s="287" t="s">
        <v>215</v>
      </c>
      <c r="C1121" s="287"/>
      <c r="D1121" s="287"/>
      <c r="E1121" s="287"/>
      <c r="F1121" s="287"/>
      <c r="G1121" s="54" t="s">
        <v>218</v>
      </c>
      <c r="H1121" s="52"/>
      <c r="I1121" s="53"/>
      <c r="J1121" s="287"/>
      <c r="K1121" s="42"/>
      <c r="L1121" s="42"/>
    </row>
    <row r="1122" spans="1:12" ht="18.75" customHeight="1" x14ac:dyDescent="0.25">
      <c r="A1122" s="132"/>
      <c r="B1122" s="287"/>
      <c r="C1122" s="287"/>
      <c r="D1122" s="287"/>
      <c r="E1122" s="287"/>
      <c r="F1122" s="287"/>
      <c r="G1122" s="54" t="s">
        <v>909</v>
      </c>
      <c r="H1122" s="52"/>
      <c r="I1122" s="53"/>
      <c r="J1122" s="287"/>
      <c r="K1122" s="42"/>
      <c r="L1122" s="42"/>
    </row>
    <row r="1123" spans="1:12" ht="18.75" customHeight="1" x14ac:dyDescent="0.25">
      <c r="A1123" s="132"/>
      <c r="B1123" s="287" t="s">
        <v>216</v>
      </c>
      <c r="C1123" s="287"/>
      <c r="D1123" s="287"/>
      <c r="E1123" s="287"/>
      <c r="F1123" s="287"/>
      <c r="G1123" s="54" t="s">
        <v>219</v>
      </c>
      <c r="H1123" s="52"/>
      <c r="I1123" s="53"/>
      <c r="J1123" s="287"/>
      <c r="K1123" s="42"/>
      <c r="L1123" s="42"/>
    </row>
    <row r="1124" spans="1:12" ht="18.75" customHeight="1" x14ac:dyDescent="0.25">
      <c r="A1124" s="132"/>
      <c r="B1124" s="287" t="s">
        <v>217</v>
      </c>
      <c r="C1124" s="287"/>
      <c r="D1124" s="287"/>
      <c r="E1124" s="287"/>
      <c r="F1124" s="287"/>
      <c r="G1124" s="55" t="s">
        <v>911</v>
      </c>
      <c r="H1124" s="52"/>
      <c r="I1124" s="53"/>
      <c r="J1124" s="287"/>
      <c r="K1124" s="42"/>
      <c r="L1124" s="42"/>
    </row>
    <row r="1125" spans="1:12" ht="18.75" customHeight="1" x14ac:dyDescent="0.25">
      <c r="A1125" s="132"/>
      <c r="B1125" s="287"/>
      <c r="C1125" s="287"/>
      <c r="D1125" s="287"/>
      <c r="E1125" s="287"/>
      <c r="F1125" s="287"/>
      <c r="G1125" s="287"/>
      <c r="H1125" s="287"/>
      <c r="I1125" s="287"/>
      <c r="J1125" s="287"/>
      <c r="K1125" s="42"/>
      <c r="L1125" s="42"/>
    </row>
    <row r="1126" spans="1:12" ht="18.75" customHeight="1" x14ac:dyDescent="0.25">
      <c r="A1126" s="132"/>
      <c r="B1126" s="630" t="s">
        <v>220</v>
      </c>
      <c r="C1126" s="630" t="s">
        <v>221</v>
      </c>
      <c r="D1126" s="630" t="s">
        <v>222</v>
      </c>
      <c r="E1126" s="162" t="s">
        <v>223</v>
      </c>
      <c r="F1126" s="630" t="s">
        <v>224</v>
      </c>
      <c r="G1126" s="632" t="s">
        <v>598</v>
      </c>
      <c r="H1126" s="632"/>
      <c r="I1126" s="287"/>
      <c r="J1126" s="287"/>
      <c r="K1126" s="42"/>
      <c r="L1126" s="42"/>
    </row>
    <row r="1127" spans="1:12" ht="18.75" customHeight="1" x14ac:dyDescent="0.25">
      <c r="A1127" s="132"/>
      <c r="B1127" s="630"/>
      <c r="C1127" s="630"/>
      <c r="D1127" s="630"/>
      <c r="E1127" s="468" t="s">
        <v>46</v>
      </c>
      <c r="F1127" s="630"/>
      <c r="G1127" s="468" t="s">
        <v>225</v>
      </c>
      <c r="H1127" s="468" t="s">
        <v>226</v>
      </c>
      <c r="I1127" s="287"/>
      <c r="J1127" s="287"/>
      <c r="K1127" s="42"/>
      <c r="L1127" s="42"/>
    </row>
    <row r="1128" spans="1:12" ht="18.75" customHeight="1" x14ac:dyDescent="0.25">
      <c r="A1128" s="132"/>
      <c r="B1128" s="559">
        <f>'Process (3)'!B22</f>
        <v>1</v>
      </c>
      <c r="C1128" s="51">
        <f>'Process (3)'!C22</f>
        <v>11</v>
      </c>
      <c r="D1128" s="163">
        <f>'Process (3)'!D22</f>
        <v>72</v>
      </c>
      <c r="E1128" s="50">
        <f>'Process (3)'!E22</f>
        <v>1.33</v>
      </c>
      <c r="F1128" s="56">
        <f>'Process (3)'!F22</f>
        <v>0.13300000000000001</v>
      </c>
      <c r="G1128" s="56">
        <f>'Process (3)'!G22</f>
        <v>0.13222400708894363</v>
      </c>
      <c r="H1128" s="50">
        <f>'Process (3)'!H22</f>
        <v>7.5758775565043486</v>
      </c>
      <c r="I1128" s="287"/>
      <c r="J1128" s="287"/>
      <c r="K1128" s="42"/>
      <c r="L1128" s="42"/>
    </row>
    <row r="1129" spans="1:12" ht="18.75" customHeight="1" x14ac:dyDescent="0.25">
      <c r="A1129" s="132"/>
      <c r="B1129" s="559">
        <f>'Process (3)'!B23</f>
        <v>2</v>
      </c>
      <c r="C1129" s="51">
        <f>'Process (3)'!C23</f>
        <v>19</v>
      </c>
      <c r="D1129" s="163">
        <f>'Process (3)'!D23</f>
        <v>87</v>
      </c>
      <c r="E1129" s="50">
        <f>'Process (3)'!E23</f>
        <v>1.1500000000000001</v>
      </c>
      <c r="F1129" s="56">
        <f>'Process (3)'!F23</f>
        <v>0.11500000000000002</v>
      </c>
      <c r="G1129" s="56">
        <f>'Process (3)'!G23</f>
        <v>0.11449702676745017</v>
      </c>
      <c r="H1129" s="50">
        <f>'Process (3)'!H23</f>
        <v>6.5601964005713098</v>
      </c>
      <c r="I1129" s="287"/>
      <c r="J1129" s="287"/>
      <c r="K1129" s="42"/>
      <c r="L1129" s="42"/>
    </row>
    <row r="1130" spans="1:12" ht="18.75" customHeight="1" x14ac:dyDescent="0.25">
      <c r="A1130" s="132"/>
      <c r="B1130" s="559">
        <f>'Process (3)'!B24</f>
        <v>3</v>
      </c>
      <c r="C1130" s="51">
        <f>'Process (3)'!C24</f>
        <v>19</v>
      </c>
      <c r="D1130" s="163">
        <f>'Process (3)'!D24</f>
        <v>87</v>
      </c>
      <c r="E1130" s="50">
        <f>'Process (3)'!E24</f>
        <v>0.72</v>
      </c>
      <c r="F1130" s="56">
        <f>'Process (3)'!F24</f>
        <v>7.1999999999999995E-2</v>
      </c>
      <c r="G1130" s="56">
        <f>'Process (3)'!G24</f>
        <v>7.187596955633492E-2</v>
      </c>
      <c r="H1130" s="50">
        <f>'Process (3)'!H24</f>
        <v>4.1181897039887829</v>
      </c>
      <c r="I1130" s="287"/>
      <c r="J1130" s="287"/>
      <c r="K1130" s="42"/>
      <c r="L1130" s="42"/>
    </row>
    <row r="1131" spans="1:12" ht="18.75" customHeight="1" x14ac:dyDescent="0.25">
      <c r="A1131" s="132"/>
      <c r="B1131" s="559">
        <f>'Process (3)'!B25</f>
        <v>4</v>
      </c>
      <c r="C1131" s="51">
        <f>'Process (3)'!C25</f>
        <v>19</v>
      </c>
      <c r="D1131" s="163">
        <f>'Process (3)'!D25</f>
        <v>87</v>
      </c>
      <c r="E1131" s="50">
        <f>'Process (3)'!E25</f>
        <v>0.29000000000000004</v>
      </c>
      <c r="F1131" s="56">
        <f>'Process (3)'!F25</f>
        <v>2.9000000000000005E-2</v>
      </c>
      <c r="G1131" s="56">
        <f>'Process (3)'!G25</f>
        <v>2.899187443310048E-2</v>
      </c>
      <c r="H1131" s="50">
        <f>'Process (3)'!H25</f>
        <v>1.6611120451898937</v>
      </c>
      <c r="I1131" s="287"/>
      <c r="J1131" s="287"/>
      <c r="K1131" s="42"/>
      <c r="L1131" s="42"/>
    </row>
    <row r="1132" spans="1:12" ht="18.75" customHeight="1" x14ac:dyDescent="0.25">
      <c r="A1132" s="132"/>
      <c r="B1132" s="287"/>
      <c r="C1132" s="287"/>
      <c r="D1132" s="287"/>
      <c r="E1132" s="287"/>
      <c r="F1132" s="287"/>
      <c r="G1132" s="287"/>
      <c r="H1132" s="287"/>
      <c r="I1132" s="287"/>
      <c r="J1132" s="287"/>
      <c r="K1132" s="42"/>
      <c r="L1132" s="42"/>
    </row>
    <row r="1133" spans="1:12" ht="18.75" customHeight="1" x14ac:dyDescent="0.25">
      <c r="A1133" s="132" t="s">
        <v>633</v>
      </c>
      <c r="B1133" s="332" t="s">
        <v>634</v>
      </c>
      <c r="C1133" s="287"/>
      <c r="D1133" s="287"/>
      <c r="E1133" s="287"/>
      <c r="F1133" s="287"/>
      <c r="G1133" s="287"/>
      <c r="H1133" s="287"/>
      <c r="I1133" s="287"/>
      <c r="J1133" s="287"/>
      <c r="K1133" s="42"/>
      <c r="L1133" s="42"/>
    </row>
    <row r="1134" spans="1:12" ht="18.75" customHeight="1" x14ac:dyDescent="0.25">
      <c r="A1134" s="132"/>
      <c r="B1134" s="42" t="s">
        <v>20</v>
      </c>
      <c r="C1134" s="42"/>
      <c r="D1134" s="42"/>
      <c r="E1134" s="42"/>
      <c r="F1134" s="42"/>
      <c r="G1134" s="30" t="s">
        <v>21</v>
      </c>
      <c r="H1134" s="47">
        <f>'Process (3)'!I28</f>
        <v>40</v>
      </c>
      <c r="I1134" s="34" t="s">
        <v>2</v>
      </c>
      <c r="J1134" s="42"/>
      <c r="K1134" s="42"/>
    </row>
    <row r="1135" spans="1:12" ht="18.75" customHeight="1" x14ac:dyDescent="0.25">
      <c r="A1135" s="132"/>
      <c r="B1135" s="42" t="s">
        <v>227</v>
      </c>
      <c r="C1135" s="42"/>
      <c r="D1135" s="42"/>
      <c r="E1135" s="42"/>
      <c r="F1135" s="42"/>
      <c r="G1135" s="30" t="s">
        <v>910</v>
      </c>
      <c r="H1135" s="47">
        <f>'Process (3)'!I29</f>
        <v>0.81195046302450269</v>
      </c>
      <c r="I1135" s="34" t="s">
        <v>2</v>
      </c>
      <c r="J1135" s="42"/>
      <c r="K1135" s="42"/>
    </row>
    <row r="1136" spans="1:12" ht="18.75" customHeight="1" x14ac:dyDescent="0.25">
      <c r="A1136" s="132"/>
      <c r="B1136" s="42" t="s">
        <v>228</v>
      </c>
      <c r="C1136" s="42"/>
      <c r="D1136" s="42"/>
      <c r="E1136" s="42"/>
      <c r="F1136" s="42"/>
      <c r="G1136" s="30" t="s">
        <v>150</v>
      </c>
      <c r="H1136" s="459">
        <f>'Process (3)'!I30</f>
        <v>1.0119504630245026</v>
      </c>
      <c r="I1136" s="34" t="s">
        <v>2</v>
      </c>
      <c r="J1136" s="42"/>
      <c r="K1136" s="42"/>
    </row>
    <row r="1137" spans="1:12" ht="18.75" customHeight="1" x14ac:dyDescent="0.25">
      <c r="A1137" s="132"/>
      <c r="B1137" s="42" t="s">
        <v>229</v>
      </c>
      <c r="C1137" s="287"/>
      <c r="D1137" s="287"/>
      <c r="E1137" s="287"/>
      <c r="F1137" s="287" t="str">
        <f>'Process (3)'!F31</f>
        <v>Tendon 1</v>
      </c>
      <c r="G1137" s="57" t="str">
        <f>'Process (3)'!H31</f>
        <v>f1 =</v>
      </c>
      <c r="H1137" s="51">
        <f>'Process (3)'!I31</f>
        <v>1.33</v>
      </c>
      <c r="I1137" s="34" t="s">
        <v>2</v>
      </c>
      <c r="J1137" s="42"/>
      <c r="K1137" s="42"/>
    </row>
    <row r="1138" spans="1:12" ht="18.75" customHeight="1" x14ac:dyDescent="0.25">
      <c r="A1138" s="132"/>
      <c r="B1138" s="287"/>
      <c r="C1138" s="287"/>
      <c r="D1138" s="287"/>
      <c r="E1138" s="287"/>
      <c r="F1138" s="287" t="str">
        <f>'Process (3)'!F32</f>
        <v>Tendon 2</v>
      </c>
      <c r="G1138" s="57" t="str">
        <f>'Process (3)'!H32</f>
        <v>f2 =</v>
      </c>
      <c r="H1138" s="51">
        <f>'Process (3)'!I32</f>
        <v>1.1500000000000001</v>
      </c>
      <c r="I1138" s="34" t="s">
        <v>2</v>
      </c>
      <c r="J1138" s="42"/>
      <c r="K1138" s="42"/>
    </row>
    <row r="1139" spans="1:12" ht="18.75" customHeight="1" x14ac:dyDescent="0.25">
      <c r="A1139" s="132"/>
      <c r="B1139" s="287"/>
      <c r="C1139" s="287"/>
      <c r="D1139" s="287"/>
      <c r="E1139" s="287"/>
      <c r="F1139" s="287" t="str">
        <f>'Process (3)'!F33</f>
        <v>Tendon 3</v>
      </c>
      <c r="G1139" s="57" t="str">
        <f>'Process (3)'!H33</f>
        <v>f3 =</v>
      </c>
      <c r="H1139" s="51">
        <f>'Process (3)'!I33</f>
        <v>0.72</v>
      </c>
      <c r="I1139" s="34" t="s">
        <v>2</v>
      </c>
      <c r="J1139" s="42"/>
      <c r="K1139" s="42"/>
    </row>
    <row r="1140" spans="1:12" ht="18.75" customHeight="1" x14ac:dyDescent="0.25">
      <c r="A1140" s="132"/>
      <c r="B1140" s="287"/>
      <c r="C1140" s="287"/>
      <c r="D1140" s="287"/>
      <c r="E1140" s="287"/>
      <c r="F1140" s="287" t="str">
        <f>'Process (3)'!F34</f>
        <v>Tendon 4</v>
      </c>
      <c r="G1140" s="57" t="str">
        <f>'Process (3)'!H34</f>
        <v>f4 =</v>
      </c>
      <c r="H1140" s="51">
        <f>'Process (3)'!I34</f>
        <v>0.29000000000000004</v>
      </c>
      <c r="I1140" s="34" t="s">
        <v>2</v>
      </c>
      <c r="J1140" s="42"/>
      <c r="K1140" s="42"/>
    </row>
    <row r="1141" spans="1:12" ht="18.75" customHeight="1" x14ac:dyDescent="0.25">
      <c r="A1141" s="132"/>
      <c r="B1141" s="287"/>
      <c r="C1141" s="287"/>
      <c r="D1141" s="287"/>
      <c r="E1141" s="287"/>
      <c r="F1141" s="287"/>
      <c r="G1141" s="287"/>
      <c r="H1141" s="287"/>
      <c r="I1141" s="287"/>
      <c r="J1141" s="287"/>
      <c r="K1141" s="42"/>
      <c r="L1141" s="42"/>
    </row>
    <row r="1142" spans="1:12" ht="18.75" customHeight="1" x14ac:dyDescent="0.25">
      <c r="A1142" s="132"/>
      <c r="B1142" s="287"/>
      <c r="C1142" s="287"/>
      <c r="D1142" s="287"/>
      <c r="E1142" s="287"/>
      <c r="F1142" s="287"/>
      <c r="G1142" s="287"/>
      <c r="H1142" s="287"/>
      <c r="I1142" s="287"/>
      <c r="J1142" s="287"/>
      <c r="K1142" s="42"/>
      <c r="L1142" s="42"/>
    </row>
    <row r="1143" spans="1:12" ht="18.75" customHeight="1" x14ac:dyDescent="0.25">
      <c r="A1143" s="132"/>
      <c r="B1143" s="287"/>
      <c r="C1143" s="287"/>
      <c r="D1143" s="287"/>
      <c r="E1143" s="287"/>
      <c r="F1143" s="287"/>
      <c r="G1143" s="287"/>
      <c r="H1143" s="287"/>
      <c r="I1143" s="287"/>
      <c r="J1143" s="287"/>
      <c r="K1143" s="42"/>
      <c r="L1143" s="42"/>
    </row>
    <row r="1144" spans="1:12" ht="18.75" customHeight="1" x14ac:dyDescent="0.35">
      <c r="A1144" s="132"/>
      <c r="B1144" s="287" t="s">
        <v>230</v>
      </c>
      <c r="C1144" s="287"/>
      <c r="D1144" s="287"/>
      <c r="E1144" s="287" t="s">
        <v>231</v>
      </c>
      <c r="F1144" s="287"/>
      <c r="G1144" s="287"/>
      <c r="H1144" s="287"/>
      <c r="I1144" s="287"/>
      <c r="J1144" s="287"/>
      <c r="K1144" s="42"/>
      <c r="L1144" s="42"/>
    </row>
    <row r="1145" spans="1:12" ht="18.75" customHeight="1" x14ac:dyDescent="0.25">
      <c r="A1145" s="132"/>
      <c r="B1145" s="287"/>
      <c r="C1145" s="287"/>
      <c r="D1145" s="287"/>
      <c r="E1145" s="287"/>
      <c r="F1145" s="287"/>
      <c r="G1145" s="287"/>
      <c r="H1145" s="287"/>
      <c r="I1145" s="287"/>
      <c r="J1145" s="287"/>
      <c r="K1145" s="42"/>
      <c r="L1145" s="42"/>
    </row>
    <row r="1146" spans="1:12" ht="18.75" customHeight="1" x14ac:dyDescent="0.25">
      <c r="A1146" s="132"/>
      <c r="B1146" s="287" t="s">
        <v>1264</v>
      </c>
      <c r="C1146" s="287"/>
      <c r="D1146" s="287"/>
      <c r="E1146" s="287"/>
      <c r="F1146" s="287"/>
      <c r="G1146" s="287"/>
      <c r="H1146" s="287"/>
      <c r="I1146" s="287"/>
      <c r="J1146" s="287"/>
      <c r="K1146" s="42"/>
      <c r="L1146" s="42"/>
    </row>
    <row r="1147" spans="1:12" ht="18.75" customHeight="1" x14ac:dyDescent="0.25">
      <c r="A1147" s="328"/>
      <c r="B1147" s="629" t="s">
        <v>232</v>
      </c>
      <c r="C1147" s="469" t="s">
        <v>233</v>
      </c>
      <c r="D1147" s="629" t="s">
        <v>234</v>
      </c>
      <c r="E1147" s="629"/>
      <c r="F1147" s="629"/>
      <c r="G1147" s="629"/>
      <c r="H1147" s="625" t="s">
        <v>555</v>
      </c>
      <c r="I1147" s="660"/>
      <c r="J1147" s="42"/>
    </row>
    <row r="1148" spans="1:12" ht="18.75" customHeight="1" x14ac:dyDescent="0.25">
      <c r="A1148" s="328"/>
      <c r="B1148" s="629"/>
      <c r="C1148" s="469" t="s">
        <v>729</v>
      </c>
      <c r="D1148" s="469" t="str">
        <f>'Process (3)'!P34</f>
        <v>Z1</v>
      </c>
      <c r="E1148" s="469" t="str">
        <f>'Process (3)'!Q34</f>
        <v>Z2</v>
      </c>
      <c r="F1148" s="469" t="str">
        <f>'Process (3)'!R34</f>
        <v>Z3</v>
      </c>
      <c r="G1148" s="469" t="str">
        <f>'Process (3)'!S34</f>
        <v>Z4</v>
      </c>
      <c r="H1148" s="469" t="s">
        <v>730</v>
      </c>
      <c r="I1148" s="469" t="s">
        <v>731</v>
      </c>
    </row>
    <row r="1149" spans="1:12" ht="18.75" customHeight="1" x14ac:dyDescent="0.25">
      <c r="A1149" s="328"/>
      <c r="B1149" s="469" t="s">
        <v>46</v>
      </c>
      <c r="C1149" s="469" t="s">
        <v>46</v>
      </c>
      <c r="D1149" s="469" t="str">
        <f>'Process (3)'!P35</f>
        <v>(m)</v>
      </c>
      <c r="E1149" s="469" t="str">
        <f>'Process (3)'!Q35</f>
        <v>(m)</v>
      </c>
      <c r="F1149" s="469" t="s">
        <v>46</v>
      </c>
      <c r="G1149" s="469" t="s">
        <v>46</v>
      </c>
      <c r="H1149" s="469" t="s">
        <v>46</v>
      </c>
      <c r="I1149" s="469" t="s">
        <v>46</v>
      </c>
    </row>
    <row r="1150" spans="1:12" ht="18.75" customHeight="1" x14ac:dyDescent="0.25">
      <c r="A1150" s="328"/>
      <c r="B1150" s="58">
        <f>'Process (3)'!M36</f>
        <v>0</v>
      </c>
      <c r="C1150" s="58">
        <f>'Process (3)'!O36</f>
        <v>1.0119504630245026</v>
      </c>
      <c r="D1150" s="58">
        <f>'Process (3)'!P36</f>
        <v>1.74</v>
      </c>
      <c r="E1150" s="58">
        <f>'Process (3)'!Q36</f>
        <v>1.31</v>
      </c>
      <c r="F1150" s="58">
        <f>'Process (3)'!R36</f>
        <v>0.88</v>
      </c>
      <c r="G1150" s="58">
        <f>'Process (3)'!S36</f>
        <v>0.45</v>
      </c>
      <c r="H1150" s="58">
        <f>'Process (3)'!T36</f>
        <v>1.5557482865713519</v>
      </c>
      <c r="I1150" s="58">
        <f>'Process (3)'!U36</f>
        <v>0.50576415928601548</v>
      </c>
    </row>
    <row r="1151" spans="1:12" ht="18.75" customHeight="1" x14ac:dyDescent="0.25">
      <c r="A1151" s="328"/>
      <c r="B1151" s="50">
        <f>'Process (3)'!M37</f>
        <v>1</v>
      </c>
      <c r="C1151" s="50">
        <f>'Process (3)'!O37</f>
        <v>0.93278529287961365</v>
      </c>
      <c r="D1151" s="50">
        <f>'Process (3)'!P37</f>
        <v>1.610325</v>
      </c>
      <c r="E1151" s="50">
        <f>'Process (3)'!Q37</f>
        <v>1.197875</v>
      </c>
      <c r="F1151" s="50">
        <f>'Process (3)'!R37</f>
        <v>0.80979999999999996</v>
      </c>
      <c r="G1151" s="50">
        <f>'Process (3)'!S37</f>
        <v>0.42172500000000002</v>
      </c>
      <c r="H1151" s="50">
        <f>'Process (3)'!T37</f>
        <v>1.5132689357385329</v>
      </c>
      <c r="I1151" s="50">
        <f>'Process (3)'!U37</f>
        <v>0.47022077538355345</v>
      </c>
    </row>
    <row r="1152" spans="1:12" ht="18.75" customHeight="1" x14ac:dyDescent="0.25">
      <c r="A1152" s="328"/>
      <c r="B1152" s="50">
        <f>'Process (3)'!M38</f>
        <v>2</v>
      </c>
      <c r="C1152" s="50">
        <f>'Process (3)'!O38</f>
        <v>0.85767987504984711</v>
      </c>
      <c r="D1152" s="50">
        <f>'Process (3)'!P38</f>
        <v>1.4872999999999998</v>
      </c>
      <c r="E1152" s="50">
        <f>'Process (3)'!Q38</f>
        <v>1.0914999999999999</v>
      </c>
      <c r="F1152" s="50">
        <f>'Process (3)'!R38</f>
        <v>0.74319999999999997</v>
      </c>
      <c r="G1152" s="50">
        <f>'Process (3)'!S38</f>
        <v>0.39490000000000003</v>
      </c>
      <c r="H1152" s="50">
        <f>'Process (3)'!T38</f>
        <v>1.4729680131535507</v>
      </c>
      <c r="I1152" s="50">
        <f>'Process (3)'!U38</f>
        <v>0.43650012911711517</v>
      </c>
    </row>
    <row r="1153" spans="1:9" ht="18.75" customHeight="1" x14ac:dyDescent="0.25">
      <c r="A1153" s="328"/>
      <c r="B1153" s="50">
        <f>'Process (3)'!M39</f>
        <v>3</v>
      </c>
      <c r="C1153" s="50">
        <f>'Process (3)'!O39</f>
        <v>0.78663420953520313</v>
      </c>
      <c r="D1153" s="50">
        <f>'Process (3)'!P39</f>
        <v>1.3709249999999999</v>
      </c>
      <c r="E1153" s="50">
        <f>'Process (3)'!Q39</f>
        <v>0.99087499999999995</v>
      </c>
      <c r="F1153" s="50">
        <f>'Process (3)'!R39</f>
        <v>0.68020000000000003</v>
      </c>
      <c r="G1153" s="50">
        <f>'Process (3)'!S39</f>
        <v>0.36952499999999999</v>
      </c>
      <c r="H1153" s="50">
        <f>'Process (3)'!T39</f>
        <v>1.4348455188164055</v>
      </c>
      <c r="I1153" s="50">
        <f>'Process (3)'!U39</f>
        <v>0.40460222048670053</v>
      </c>
    </row>
    <row r="1154" spans="1:9" ht="18.75" customHeight="1" x14ac:dyDescent="0.25">
      <c r="A1154" s="328"/>
      <c r="B1154" s="50">
        <f>'Process (3)'!M40</f>
        <v>4</v>
      </c>
      <c r="C1154" s="50">
        <f>'Process (3)'!O40</f>
        <v>0.71964829633568161</v>
      </c>
      <c r="D1154" s="50">
        <f>'Process (3)'!P40</f>
        <v>1.2611999999999999</v>
      </c>
      <c r="E1154" s="50">
        <f>'Process (3)'!Q40</f>
        <v>0.89600000000000002</v>
      </c>
      <c r="F1154" s="50">
        <f>'Process (3)'!R40</f>
        <v>0.62080000000000002</v>
      </c>
      <c r="G1154" s="50">
        <f>'Process (3)'!S40</f>
        <v>0.34560000000000002</v>
      </c>
      <c r="H1154" s="50">
        <f>'Process (3)'!T40</f>
        <v>1.3989014527270971</v>
      </c>
      <c r="I1154" s="50">
        <f>'Process (3)'!U40</f>
        <v>0.37452704949230958</v>
      </c>
    </row>
    <row r="1155" spans="1:9" ht="18.75" customHeight="1" x14ac:dyDescent="0.25">
      <c r="A1155" s="328"/>
      <c r="B1155" s="58">
        <f>'Process (3)'!M41</f>
        <v>5</v>
      </c>
      <c r="C1155" s="58">
        <f>'Process (3)'!O41</f>
        <v>0.65672213545128266</v>
      </c>
      <c r="D1155" s="58">
        <f>'Process (3)'!P41</f>
        <v>1.1581250000000001</v>
      </c>
      <c r="E1155" s="58">
        <f>'Process (3)'!Q41</f>
        <v>0.80687500000000001</v>
      </c>
      <c r="F1155" s="58">
        <f>'Process (3)'!R41</f>
        <v>0.56499999999999995</v>
      </c>
      <c r="G1155" s="58">
        <f>'Process (3)'!S41</f>
        <v>0.323125</v>
      </c>
      <c r="H1155" s="58">
        <f>'Process (3)'!T41</f>
        <v>1.3651358148856256</v>
      </c>
      <c r="I1155" s="58">
        <f>'Process (3)'!U41</f>
        <v>0.34627461613394234</v>
      </c>
    </row>
    <row r="1156" spans="1:9" ht="18.75" customHeight="1" x14ac:dyDescent="0.25">
      <c r="A1156" s="328"/>
      <c r="B1156" s="50">
        <f>'Process (3)'!M42</f>
        <v>6</v>
      </c>
      <c r="C1156" s="50">
        <f>'Process (3)'!O42</f>
        <v>0.59785572688200628</v>
      </c>
      <c r="D1156" s="50">
        <f>'Process (3)'!P42</f>
        <v>1.0616999999999999</v>
      </c>
      <c r="E1156" s="50">
        <f>'Process (3)'!Q42</f>
        <v>0.72350000000000003</v>
      </c>
      <c r="F1156" s="50">
        <f>'Process (3)'!R42</f>
        <v>0.51279999999999992</v>
      </c>
      <c r="G1156" s="50">
        <f>'Process (3)'!S42</f>
        <v>0.30209999999999998</v>
      </c>
      <c r="H1156" s="50">
        <f>'Process (3)'!T42</f>
        <v>1.3335486052919907</v>
      </c>
      <c r="I1156" s="50">
        <f>'Process (3)'!U42</f>
        <v>0.31984492041159884</v>
      </c>
    </row>
    <row r="1157" spans="1:9" ht="18.75" customHeight="1" x14ac:dyDescent="0.25">
      <c r="A1157" s="328"/>
      <c r="B1157" s="50">
        <f>'Process (3)'!M43</f>
        <v>7</v>
      </c>
      <c r="C1157" s="50">
        <f>'Process (3)'!O43</f>
        <v>0.54304907062785235</v>
      </c>
      <c r="D1157" s="50">
        <f>'Process (3)'!P43</f>
        <v>0.97192499999999993</v>
      </c>
      <c r="E1157" s="50">
        <f>'Process (3)'!Q43</f>
        <v>0.64587500000000009</v>
      </c>
      <c r="F1157" s="50">
        <f>'Process (3)'!R43</f>
        <v>0.4642</v>
      </c>
      <c r="G1157" s="50">
        <f>'Process (3)'!S43</f>
        <v>0.28252500000000003</v>
      </c>
      <c r="H1157" s="50">
        <f>'Process (3)'!T43</f>
        <v>1.304139823946193</v>
      </c>
      <c r="I1157" s="50">
        <f>'Process (3)'!U43</f>
        <v>0.29523796232527899</v>
      </c>
    </row>
    <row r="1158" spans="1:9" ht="18.75" customHeight="1" x14ac:dyDescent="0.25">
      <c r="A1158" s="328"/>
      <c r="B1158" s="50">
        <f>'Process (3)'!M44</f>
        <v>8</v>
      </c>
      <c r="C1158" s="50">
        <f>'Process (3)'!O44</f>
        <v>0.49230216668882087</v>
      </c>
      <c r="D1158" s="50">
        <f>'Process (3)'!P44</f>
        <v>0.88879999999999992</v>
      </c>
      <c r="E1158" s="50">
        <f>'Process (3)'!Q44</f>
        <v>0.57399999999999995</v>
      </c>
      <c r="F1158" s="50">
        <f>'Process (3)'!R44</f>
        <v>0.41920000000000002</v>
      </c>
      <c r="G1158" s="50">
        <f>'Process (3)'!S44</f>
        <v>0.26439999999999997</v>
      </c>
      <c r="H1158" s="50">
        <f>'Process (3)'!T44</f>
        <v>1.276909470848232</v>
      </c>
      <c r="I1158" s="50">
        <f>'Process (3)'!U44</f>
        <v>0.27245374187498284</v>
      </c>
    </row>
    <row r="1159" spans="1:9" ht="18.75" customHeight="1" x14ac:dyDescent="0.25">
      <c r="A1159" s="328"/>
      <c r="B1159" s="50">
        <f>'Process (3)'!M45</f>
        <v>9</v>
      </c>
      <c r="C1159" s="50">
        <f>'Process (3)'!O45</f>
        <v>0.44561501506491197</v>
      </c>
      <c r="D1159" s="50">
        <f>'Process (3)'!P45</f>
        <v>0.81232499999999996</v>
      </c>
      <c r="E1159" s="50">
        <f>'Process (3)'!Q45</f>
        <v>0.50787499999999997</v>
      </c>
      <c r="F1159" s="50">
        <f>'Process (3)'!R45</f>
        <v>0.37780000000000002</v>
      </c>
      <c r="G1159" s="50">
        <f>'Process (3)'!S45</f>
        <v>0.247725</v>
      </c>
      <c r="H1159" s="50">
        <f>'Process (3)'!T45</f>
        <v>1.2518575459981081</v>
      </c>
      <c r="I1159" s="50">
        <f>'Process (3)'!U45</f>
        <v>0.25149225906071032</v>
      </c>
    </row>
    <row r="1160" spans="1:9" ht="18.75" customHeight="1" x14ac:dyDescent="0.25">
      <c r="A1160" s="328"/>
      <c r="B1160" s="58">
        <f>'Process (3)'!M46</f>
        <v>10</v>
      </c>
      <c r="C1160" s="58">
        <f>'Process (3)'!O46</f>
        <v>0.40298761575612563</v>
      </c>
      <c r="D1160" s="58">
        <f>'Process (3)'!P46</f>
        <v>0.74249999999999994</v>
      </c>
      <c r="E1160" s="58">
        <f>'Process (3)'!Q46</f>
        <v>0.4474999999999999</v>
      </c>
      <c r="F1160" s="58">
        <f>'Process (3)'!R46</f>
        <v>0.34000000000000008</v>
      </c>
      <c r="G1160" s="58">
        <f>'Process (3)'!S46</f>
        <v>0.23249999999999998</v>
      </c>
      <c r="H1160" s="58">
        <f>'Process (3)'!T46</f>
        <v>1.2289840493958208</v>
      </c>
      <c r="I1160" s="58">
        <f>'Process (3)'!U46</f>
        <v>0.23235351388246156</v>
      </c>
    </row>
    <row r="1161" spans="1:9" ht="18.75" customHeight="1" x14ac:dyDescent="0.25">
      <c r="A1161" s="328"/>
      <c r="B1161" s="50">
        <f>'Process (3)'!M47</f>
        <v>11</v>
      </c>
      <c r="C1161" s="50">
        <f>'Process (3)'!O47</f>
        <v>0.36441996876246174</v>
      </c>
      <c r="D1161" s="50">
        <f>'Process (3)'!P47</f>
        <v>0.67932499999999996</v>
      </c>
      <c r="E1161" s="50">
        <f>'Process (3)'!Q47</f>
        <v>0.39287499999999986</v>
      </c>
      <c r="F1161" s="50">
        <f>'Process (3)'!R47</f>
        <v>0.30580000000000007</v>
      </c>
      <c r="G1161" s="50">
        <f>'Process (3)'!S47</f>
        <v>0.21872499999999997</v>
      </c>
      <c r="H1161" s="50">
        <f>'Process (3)'!T47</f>
        <v>1.2082889810413706</v>
      </c>
      <c r="I1161" s="50">
        <f>'Process (3)'!U47</f>
        <v>0.2150375063402365</v>
      </c>
    </row>
    <row r="1162" spans="1:9" ht="18.75" customHeight="1" x14ac:dyDescent="0.25">
      <c r="A1162" s="328"/>
      <c r="B1162" s="50">
        <f>'Process (3)'!M48</f>
        <v>12</v>
      </c>
      <c r="C1162" s="50">
        <f>'Process (3)'!O48</f>
        <v>0.32991207408392031</v>
      </c>
      <c r="D1162" s="50">
        <f>'Process (3)'!P48</f>
        <v>0.6227999999999998</v>
      </c>
      <c r="E1162" s="50">
        <f>'Process (3)'!Q48</f>
        <v>0.34399999999999997</v>
      </c>
      <c r="F1162" s="50">
        <f>'Process (3)'!R48</f>
        <v>0.2752</v>
      </c>
      <c r="G1162" s="50">
        <f>'Process (3)'!S48</f>
        <v>0.20639999999999997</v>
      </c>
      <c r="H1162" s="50">
        <f>'Process (3)'!T48</f>
        <v>1.1897723409347571</v>
      </c>
      <c r="I1162" s="50">
        <f>'Process (3)'!U48</f>
        <v>0.19954423643403507</v>
      </c>
    </row>
    <row r="1163" spans="1:9" ht="18.75" customHeight="1" x14ac:dyDescent="0.25">
      <c r="A1163" s="328"/>
      <c r="B1163" s="50">
        <f>'Process (3)'!M49</f>
        <v>13</v>
      </c>
      <c r="C1163" s="50">
        <f>'Process (3)'!O49</f>
        <v>0.29946393172050156</v>
      </c>
      <c r="D1163" s="50">
        <f>'Process (3)'!P49</f>
        <v>0.57292499999999991</v>
      </c>
      <c r="E1163" s="50">
        <f>'Process (3)'!Q49</f>
        <v>0.300875</v>
      </c>
      <c r="F1163" s="50">
        <f>'Process (3)'!R49</f>
        <v>0.24820000000000009</v>
      </c>
      <c r="G1163" s="50">
        <f>'Process (3)'!S49</f>
        <v>0.195525</v>
      </c>
      <c r="H1163" s="50">
        <f>'Process (3)'!T49</f>
        <v>1.1734341290759807</v>
      </c>
      <c r="I1163" s="50">
        <f>'Process (3)'!U49</f>
        <v>0.1858737041638574</v>
      </c>
    </row>
    <row r="1164" spans="1:9" ht="18.75" customHeight="1" x14ac:dyDescent="0.25">
      <c r="A1164" s="328"/>
      <c r="B1164" s="50">
        <f>'Process (3)'!M50</f>
        <v>14</v>
      </c>
      <c r="C1164" s="50">
        <f>'Process (3)'!O50</f>
        <v>0.27307554167220527</v>
      </c>
      <c r="D1164" s="50">
        <f>'Process (3)'!P50</f>
        <v>0.52970000000000006</v>
      </c>
      <c r="E1164" s="50">
        <f>'Process (3)'!Q50</f>
        <v>0.26350000000000007</v>
      </c>
      <c r="F1164" s="50">
        <f>'Process (3)'!R50</f>
        <v>0.2248</v>
      </c>
      <c r="G1164" s="50">
        <f>'Process (3)'!S50</f>
        <v>0.18609999999999999</v>
      </c>
      <c r="H1164" s="50">
        <f>'Process (3)'!T50</f>
        <v>1.1592743454650409</v>
      </c>
      <c r="I1164" s="50">
        <f>'Process (3)'!U50</f>
        <v>0.17402590952970337</v>
      </c>
    </row>
    <row r="1165" spans="1:9" ht="18.75" customHeight="1" x14ac:dyDescent="0.25">
      <c r="A1165" s="328"/>
      <c r="B1165" s="58">
        <f>'Process (3)'!M51</f>
        <v>15</v>
      </c>
      <c r="C1165" s="58">
        <f>'Process (3)'!O51</f>
        <v>0.25074690393903132</v>
      </c>
      <c r="D1165" s="58">
        <f>'Process (3)'!P51</f>
        <v>0.49312499999999981</v>
      </c>
      <c r="E1165" s="58">
        <f>'Process (3)'!Q51</f>
        <v>0.23187499999999983</v>
      </c>
      <c r="F1165" s="58">
        <f>'Process (3)'!R51</f>
        <v>0.20500000000000007</v>
      </c>
      <c r="G1165" s="58">
        <f>'Process (3)'!S51</f>
        <v>0.17812499999999998</v>
      </c>
      <c r="H1165" s="58">
        <f>'Process (3)'!T51</f>
        <v>1.1472929901019382</v>
      </c>
      <c r="I1165" s="58">
        <f>'Process (3)'!U51</f>
        <v>0.16400085253157304</v>
      </c>
    </row>
    <row r="1166" spans="1:9" ht="18.75" customHeight="1" x14ac:dyDescent="0.25">
      <c r="A1166" s="328"/>
      <c r="B1166" s="50">
        <f>'Process (3)'!M52</f>
        <v>16</v>
      </c>
      <c r="C1166" s="50">
        <f>'Process (3)'!O52</f>
        <v>0.23247801852098005</v>
      </c>
      <c r="D1166" s="50">
        <f>'Process (3)'!P52</f>
        <v>0.46319999999999983</v>
      </c>
      <c r="E1166" s="50">
        <f>'Process (3)'!Q52</f>
        <v>0.20599999999999996</v>
      </c>
      <c r="F1166" s="50">
        <f>'Process (3)'!R52</f>
        <v>0.18879999999999997</v>
      </c>
      <c r="G1166" s="50">
        <f>'Process (3)'!S52</f>
        <v>0.17159999999999997</v>
      </c>
      <c r="H1166" s="50">
        <f>'Process (3)'!T52</f>
        <v>1.1374900629866722</v>
      </c>
      <c r="I1166" s="50">
        <f>'Process (3)'!U52</f>
        <v>0.15579853316946646</v>
      </c>
    </row>
    <row r="1167" spans="1:9" ht="18.75" customHeight="1" x14ac:dyDescent="0.25">
      <c r="A1167" s="328"/>
      <c r="B1167" s="50">
        <f>'Process (3)'!M53</f>
        <v>17</v>
      </c>
      <c r="C1167" s="50">
        <f>'Process (3)'!O53</f>
        <v>0.21826888541805134</v>
      </c>
      <c r="D1167" s="50">
        <f>'Process (3)'!P53</f>
        <v>0.43992500000000012</v>
      </c>
      <c r="E1167" s="50">
        <f>'Process (3)'!Q53</f>
        <v>0.18587500000000001</v>
      </c>
      <c r="F1167" s="50">
        <f>'Process (3)'!R53</f>
        <v>0.17619999999999991</v>
      </c>
      <c r="G1167" s="50">
        <f>'Process (3)'!S53</f>
        <v>0.16652499999999998</v>
      </c>
      <c r="H1167" s="50">
        <f>'Process (3)'!T53</f>
        <v>1.1298655641192432</v>
      </c>
      <c r="I1167" s="50">
        <f>'Process (3)'!U53</f>
        <v>0.14941895144338352</v>
      </c>
    </row>
    <row r="1168" spans="1:9" ht="18.75" customHeight="1" x14ac:dyDescent="0.25">
      <c r="A1168" s="328"/>
      <c r="B1168" s="50">
        <f>'Process (3)'!M54</f>
        <v>18</v>
      </c>
      <c r="C1168" s="50">
        <f>'Process (3)'!O54</f>
        <v>0.20811950463024498</v>
      </c>
      <c r="D1168" s="50">
        <f>'Process (3)'!P54</f>
        <v>0.42330000000000001</v>
      </c>
      <c r="E1168" s="50">
        <f>'Process (3)'!Q54</f>
        <v>0.17149999999999999</v>
      </c>
      <c r="F1168" s="50">
        <f>'Process (3)'!R54</f>
        <v>0.16720000000000002</v>
      </c>
      <c r="G1168" s="50">
        <f>'Process (3)'!S54</f>
        <v>0.16289999999999999</v>
      </c>
      <c r="H1168" s="50">
        <f>'Process (3)'!T54</f>
        <v>1.124419493499651</v>
      </c>
      <c r="I1168" s="50">
        <f>'Process (3)'!U54</f>
        <v>0.14486210735332428</v>
      </c>
    </row>
    <row r="1169" spans="1:12" ht="18.75" customHeight="1" x14ac:dyDescent="0.25">
      <c r="A1169" s="328"/>
      <c r="B1169" s="50">
        <f>'Process (3)'!M55</f>
        <v>19</v>
      </c>
      <c r="C1169" s="50">
        <f>'Process (3)'!O55</f>
        <v>0.20202987615756118</v>
      </c>
      <c r="D1169" s="50">
        <f>'Process (3)'!P55</f>
        <v>0.41332499999999972</v>
      </c>
      <c r="E1169" s="50">
        <f>'Process (3)'!Q55</f>
        <v>0.16287499999999988</v>
      </c>
      <c r="F1169" s="50">
        <f>'Process (3)'!R55</f>
        <v>0.16179999999999994</v>
      </c>
      <c r="G1169" s="50">
        <f>'Process (3)'!S55</f>
        <v>0.16072499999999995</v>
      </c>
      <c r="H1169" s="50">
        <f>'Process (3)'!T55</f>
        <v>1.1211518511278957</v>
      </c>
      <c r="I1169" s="50">
        <f>'Process (3)'!U55</f>
        <v>0.14212800089928873</v>
      </c>
    </row>
    <row r="1170" spans="1:12" ht="18.75" customHeight="1" x14ac:dyDescent="0.25">
      <c r="A1170" s="328"/>
      <c r="B1170" s="58">
        <f>'Process (3)'!M56</f>
        <v>20</v>
      </c>
      <c r="C1170" s="58">
        <f>'Process (3)'!O56</f>
        <v>0.19999999999999996</v>
      </c>
      <c r="D1170" s="58">
        <f>'Process (3)'!P56</f>
        <v>0.40999999999999992</v>
      </c>
      <c r="E1170" s="58">
        <f>'Process (3)'!Q56</f>
        <v>0.15999999999999992</v>
      </c>
      <c r="F1170" s="58">
        <f>'Process (3)'!R56</f>
        <v>0.16000000000000003</v>
      </c>
      <c r="G1170" s="58">
        <f>'Process (3)'!S56</f>
        <v>0.15999999999999998</v>
      </c>
      <c r="H1170" s="58">
        <f>'Process (3)'!T56</f>
        <v>1.1200626370039772</v>
      </c>
      <c r="I1170" s="58">
        <f>'Process (3)'!U56</f>
        <v>0.14121663208127688</v>
      </c>
    </row>
    <row r="1171" spans="1:12" ht="18.75" customHeight="1" x14ac:dyDescent="0.25">
      <c r="A1171" s="328"/>
    </row>
    <row r="1172" spans="1:12" ht="18.75" customHeight="1" x14ac:dyDescent="0.25">
      <c r="A1172" s="328"/>
    </row>
    <row r="1173" spans="1:12" ht="18.75" customHeight="1" x14ac:dyDescent="0.25">
      <c r="A1173" s="328"/>
    </row>
    <row r="1174" spans="1:12" ht="18.75" customHeight="1" x14ac:dyDescent="0.25">
      <c r="A1174" s="328"/>
    </row>
    <row r="1175" spans="1:12" ht="18.75" customHeight="1" x14ac:dyDescent="0.25">
      <c r="A1175" s="328"/>
    </row>
    <row r="1176" spans="1:12" ht="18.75" customHeight="1" x14ac:dyDescent="0.25">
      <c r="A1176" s="328"/>
    </row>
    <row r="1177" spans="1:12" ht="18.75" customHeight="1" x14ac:dyDescent="0.25">
      <c r="A1177" s="328"/>
    </row>
    <row r="1178" spans="1:12" ht="18.75" customHeight="1" x14ac:dyDescent="0.25">
      <c r="A1178" s="328"/>
    </row>
    <row r="1179" spans="1:12" ht="18.75" customHeight="1" x14ac:dyDescent="0.25">
      <c r="A1179" s="328"/>
    </row>
    <row r="1180" spans="1:12" ht="18.75" customHeight="1" x14ac:dyDescent="0.25">
      <c r="A1180" s="328"/>
    </row>
    <row r="1181" spans="1:12" ht="18.75" customHeight="1" x14ac:dyDescent="0.25">
      <c r="A1181" s="132"/>
      <c r="B1181" s="287" t="s">
        <v>1265</v>
      </c>
      <c r="C1181" s="287"/>
      <c r="D1181" s="287"/>
      <c r="E1181" s="287"/>
      <c r="F1181" s="287"/>
      <c r="G1181" s="287"/>
      <c r="H1181" s="287"/>
      <c r="I1181" s="287"/>
      <c r="J1181" s="287"/>
      <c r="K1181" s="42"/>
      <c r="L1181" s="42"/>
    </row>
    <row r="1182" spans="1:12" ht="18.75" customHeight="1" x14ac:dyDescent="0.25">
      <c r="A1182" s="328"/>
    </row>
    <row r="1183" spans="1:12" ht="18.75" customHeight="1" x14ac:dyDescent="0.25">
      <c r="A1183" s="328"/>
    </row>
    <row r="1184" spans="1:12" ht="18.75" customHeight="1" x14ac:dyDescent="0.25">
      <c r="A1184" s="328"/>
    </row>
    <row r="1185" spans="1:12" ht="18.75" customHeight="1" x14ac:dyDescent="0.25">
      <c r="A1185" s="328"/>
    </row>
    <row r="1186" spans="1:12" ht="18.75" customHeight="1" x14ac:dyDescent="0.25">
      <c r="A1186" s="328"/>
    </row>
    <row r="1187" spans="1:12" ht="18.75" customHeight="1" x14ac:dyDescent="0.25">
      <c r="A1187" s="328"/>
    </row>
    <row r="1188" spans="1:12" ht="18.75" customHeight="1" x14ac:dyDescent="0.25">
      <c r="A1188" s="328"/>
    </row>
    <row r="1189" spans="1:12" ht="18.75" customHeight="1" x14ac:dyDescent="0.25">
      <c r="A1189" s="328"/>
    </row>
    <row r="1190" spans="1:12" ht="18.75" customHeight="1" x14ac:dyDescent="0.25">
      <c r="A1190" s="328"/>
    </row>
    <row r="1191" spans="1:12" ht="18.75" customHeight="1" x14ac:dyDescent="0.25">
      <c r="A1191" s="328"/>
    </row>
    <row r="1192" spans="1:12" ht="18.75" customHeight="1" x14ac:dyDescent="0.25">
      <c r="A1192" s="328"/>
    </row>
    <row r="1193" spans="1:12" ht="18.75" customHeight="1" x14ac:dyDescent="0.25">
      <c r="A1193" s="328"/>
    </row>
    <row r="1194" spans="1:12" ht="18.75" customHeight="1" x14ac:dyDescent="0.25">
      <c r="A1194" s="328"/>
    </row>
    <row r="1195" spans="1:12" ht="18.75" customHeight="1" x14ac:dyDescent="0.25">
      <c r="A1195" s="328"/>
    </row>
    <row r="1196" spans="1:12" ht="18.75" customHeight="1" x14ac:dyDescent="0.25">
      <c r="A1196" s="328"/>
    </row>
    <row r="1197" spans="1:12" ht="18.75" customHeight="1" x14ac:dyDescent="0.25">
      <c r="A1197" s="328"/>
    </row>
    <row r="1198" spans="1:12" ht="18.75" customHeight="1" x14ac:dyDescent="0.25">
      <c r="A1198" s="328"/>
    </row>
    <row r="1199" spans="1:12" ht="18.75" customHeight="1" x14ac:dyDescent="0.25">
      <c r="A1199" s="531" t="s">
        <v>1293</v>
      </c>
      <c r="B1199" s="482" t="s">
        <v>1266</v>
      </c>
      <c r="C1199" s="483"/>
      <c r="D1199" s="483"/>
      <c r="E1199" s="483"/>
      <c r="F1199" s="483"/>
      <c r="G1199" s="484"/>
      <c r="H1199" s="485"/>
      <c r="I1199" s="486"/>
    </row>
    <row r="1200" spans="1:12" ht="18.75" customHeight="1" x14ac:dyDescent="0.25">
      <c r="A1200" s="132" t="s">
        <v>643</v>
      </c>
      <c r="B1200" s="332" t="s">
        <v>636</v>
      </c>
      <c r="C1200" s="42"/>
      <c r="D1200" s="42"/>
      <c r="E1200" s="42"/>
      <c r="F1200" s="42"/>
      <c r="G1200" s="42"/>
      <c r="H1200" s="30"/>
      <c r="I1200" s="31"/>
      <c r="J1200" s="42"/>
      <c r="K1200" s="42"/>
      <c r="L1200" s="42"/>
    </row>
    <row r="1201" spans="1:12" ht="18.75" customHeight="1" x14ac:dyDescent="0.25">
      <c r="A1201" s="132"/>
      <c r="B1201" s="42" t="s">
        <v>235</v>
      </c>
      <c r="C1201" s="42"/>
      <c r="D1201" s="42"/>
      <c r="E1201" s="42"/>
      <c r="F1201" s="42"/>
      <c r="G1201" s="30" t="s">
        <v>296</v>
      </c>
      <c r="H1201" s="6">
        <f>'Input (3) &amp; Process (4)'!H3</f>
        <v>9905.5396910481722</v>
      </c>
      <c r="I1201" s="32" t="s">
        <v>40</v>
      </c>
      <c r="J1201" s="42"/>
      <c r="K1201" s="42"/>
      <c r="L1201" s="42"/>
    </row>
    <row r="1202" spans="1:12" ht="18.75" customHeight="1" x14ac:dyDescent="0.25">
      <c r="A1202" s="132"/>
      <c r="B1202" s="42" t="s">
        <v>236</v>
      </c>
      <c r="C1202" s="42"/>
      <c r="D1202" s="42"/>
      <c r="E1202" s="42"/>
      <c r="F1202" s="42"/>
      <c r="G1202" s="30" t="s">
        <v>237</v>
      </c>
      <c r="H1202" s="79">
        <f>'Input (3) &amp; Process (4)'!H4</f>
        <v>0.03</v>
      </c>
      <c r="I1202" s="32"/>
      <c r="J1202" s="42"/>
      <c r="K1202" s="42"/>
      <c r="L1202" s="42"/>
    </row>
    <row r="1203" spans="1:12" ht="18.75" customHeight="1" x14ac:dyDescent="0.25">
      <c r="A1203" s="132"/>
      <c r="B1203" s="42" t="s">
        <v>239</v>
      </c>
      <c r="C1203" s="42"/>
      <c r="D1203" s="42"/>
      <c r="E1203" s="42"/>
      <c r="F1203" s="42"/>
      <c r="G1203" s="42"/>
      <c r="H1203" s="42"/>
      <c r="I1203" s="42"/>
      <c r="J1203" s="42"/>
      <c r="K1203" s="42"/>
      <c r="L1203" s="42"/>
    </row>
    <row r="1204" spans="1:12" ht="18.75" customHeight="1" x14ac:dyDescent="0.25">
      <c r="A1204" s="132"/>
      <c r="B1204" s="42"/>
      <c r="C1204" s="42"/>
      <c r="D1204" s="42"/>
      <c r="E1204" s="42"/>
      <c r="F1204" s="42"/>
      <c r="G1204" s="30" t="s">
        <v>954</v>
      </c>
      <c r="H1204" s="459">
        <f>'Input (3) &amp; Process (4)'!H6</f>
        <v>9608.3735003167276</v>
      </c>
      <c r="I1204" s="32" t="s">
        <v>40</v>
      </c>
      <c r="J1204" s="42"/>
      <c r="K1204" s="42"/>
      <c r="L1204" s="42"/>
    </row>
    <row r="1205" spans="1:12" ht="18.75" customHeight="1" x14ac:dyDescent="0.25">
      <c r="A1205" s="132"/>
      <c r="B1205" s="42"/>
      <c r="C1205" s="42"/>
      <c r="D1205" s="42"/>
      <c r="E1205" s="42"/>
      <c r="F1205" s="42"/>
      <c r="G1205" s="42"/>
      <c r="H1205" s="30"/>
      <c r="I1205" s="31"/>
      <c r="J1205" s="42"/>
      <c r="K1205" s="42"/>
      <c r="L1205" s="42"/>
    </row>
    <row r="1206" spans="1:12" ht="18.75" customHeight="1" x14ac:dyDescent="0.25">
      <c r="A1206" s="132" t="s">
        <v>644</v>
      </c>
      <c r="B1206" s="332" t="s">
        <v>637</v>
      </c>
      <c r="C1206" s="42"/>
      <c r="D1206" s="42"/>
      <c r="E1206" s="42"/>
      <c r="F1206" s="42"/>
      <c r="G1206" s="42"/>
      <c r="H1206" s="30"/>
      <c r="I1206" s="31"/>
      <c r="J1206" s="42"/>
      <c r="K1206" s="42"/>
      <c r="L1206" s="42"/>
    </row>
    <row r="1207" spans="1:12" ht="18.75" customHeight="1" x14ac:dyDescent="0.25">
      <c r="A1207" s="132"/>
      <c r="B1207" s="42" t="s">
        <v>240</v>
      </c>
      <c r="C1207" s="42"/>
      <c r="D1207" s="42"/>
      <c r="E1207" s="30" t="s">
        <v>253</v>
      </c>
      <c r="F1207" s="237">
        <f>'Input (3) &amp; Process (4)'!F9</f>
        <v>8.2818947228499279E-2</v>
      </c>
      <c r="G1207" s="30" t="s">
        <v>254</v>
      </c>
      <c r="H1207" s="459">
        <f>'Input (3) &amp; Process (4)'!H9</f>
        <v>8.2818947228499279E-2</v>
      </c>
      <c r="I1207" s="32" t="s">
        <v>255</v>
      </c>
      <c r="J1207" s="42"/>
      <c r="K1207" s="42"/>
      <c r="L1207" s="42"/>
    </row>
    <row r="1208" spans="1:12" ht="18.75" customHeight="1" x14ac:dyDescent="0.25">
      <c r="A1208" s="132"/>
      <c r="B1208" s="42" t="s">
        <v>241</v>
      </c>
      <c r="C1208" s="42"/>
      <c r="D1208" s="42"/>
      <c r="E1208" s="42"/>
      <c r="F1208" s="42"/>
      <c r="G1208" s="245" t="s">
        <v>256</v>
      </c>
      <c r="H1208" s="459">
        <f>'Input (3) &amp; Process (4)'!H10</f>
        <v>0.16563789445699856</v>
      </c>
      <c r="I1208" s="32"/>
      <c r="J1208" s="42"/>
      <c r="K1208" s="42"/>
      <c r="L1208" s="42"/>
    </row>
    <row r="1209" spans="1:12" ht="18.75" customHeight="1" x14ac:dyDescent="0.25">
      <c r="A1209" s="132"/>
      <c r="B1209" s="247" t="s">
        <v>242</v>
      </c>
      <c r="C1209" s="247"/>
      <c r="D1209" s="247"/>
      <c r="E1209" s="247"/>
      <c r="F1209" s="247"/>
      <c r="G1209" s="57" t="s">
        <v>252</v>
      </c>
      <c r="H1209" s="493">
        <f>'Input (3) &amp; Process (4)'!H11</f>
        <v>0.06</v>
      </c>
      <c r="I1209" s="259"/>
      <c r="J1209" s="42"/>
      <c r="K1209" s="42"/>
      <c r="L1209" s="42"/>
    </row>
    <row r="1210" spans="1:12" ht="18.75" customHeight="1" x14ac:dyDescent="0.25">
      <c r="A1210" s="132"/>
      <c r="B1210" s="247" t="s">
        <v>243</v>
      </c>
      <c r="C1210" s="247"/>
      <c r="D1210" s="247"/>
      <c r="E1210" s="247"/>
      <c r="F1210" s="247"/>
      <c r="G1210" s="249" t="s">
        <v>299</v>
      </c>
      <c r="H1210" s="493">
        <f>'Input (3) &amp; Process (4)'!H12</f>
        <v>5.0000000000000001E-4</v>
      </c>
      <c r="I1210" s="259"/>
      <c r="J1210" s="42"/>
      <c r="K1210" s="42"/>
      <c r="L1210" s="42"/>
    </row>
    <row r="1211" spans="1:12" ht="18.75" customHeight="1" x14ac:dyDescent="0.25">
      <c r="A1211" s="132"/>
      <c r="B1211" s="42" t="s">
        <v>244</v>
      </c>
      <c r="C1211" s="42"/>
      <c r="D1211" s="42"/>
      <c r="E1211" s="42"/>
      <c r="F1211" s="42"/>
      <c r="G1211" s="42"/>
      <c r="H1211" s="30"/>
      <c r="I1211" s="31"/>
      <c r="J1211" s="42"/>
      <c r="K1211" s="42"/>
      <c r="L1211" s="42"/>
    </row>
    <row r="1212" spans="1:12" ht="18.75" customHeight="1" x14ac:dyDescent="0.25">
      <c r="A1212" s="132"/>
      <c r="B1212" s="42"/>
      <c r="C1212" s="42" t="s">
        <v>955</v>
      </c>
      <c r="D1212" s="17">
        <f>'Input (3) &amp; Process (4)'!D14</f>
        <v>20.399999999999999</v>
      </c>
      <c r="E1212" s="42" t="s">
        <v>2</v>
      </c>
      <c r="F1212" s="42"/>
      <c r="G1212" s="30" t="s">
        <v>956</v>
      </c>
      <c r="H1212" s="459">
        <f>'Input (3) &amp; Process (4)'!H14</f>
        <v>9416.8127703820446</v>
      </c>
      <c r="I1212" s="32" t="s">
        <v>40</v>
      </c>
      <c r="J1212" s="42"/>
      <c r="K1212" s="42"/>
      <c r="L1212" s="42"/>
    </row>
    <row r="1213" spans="1:12" ht="18.75" customHeight="1" x14ac:dyDescent="0.25">
      <c r="A1213" s="132"/>
      <c r="B1213" s="42"/>
      <c r="C1213" s="42" t="s">
        <v>955</v>
      </c>
      <c r="D1213" s="17">
        <f>'Input (3) &amp; Process (4)'!D15</f>
        <v>40.799999999999997</v>
      </c>
      <c r="E1213" s="42" t="s">
        <v>2</v>
      </c>
      <c r="F1213" s="42"/>
      <c r="G1213" s="30" t="s">
        <v>956</v>
      </c>
      <c r="H1213" s="459">
        <f>'Input (3) &amp; Process (4)'!H15</f>
        <v>9321.2494814300808</v>
      </c>
      <c r="I1213" s="32" t="s">
        <v>40</v>
      </c>
      <c r="J1213" s="42"/>
      <c r="K1213" s="42"/>
      <c r="L1213" s="42"/>
    </row>
    <row r="1214" spans="1:12" ht="18.75" customHeight="1" x14ac:dyDescent="0.25">
      <c r="A1214" s="132"/>
      <c r="B1214" s="42"/>
      <c r="C1214" s="42"/>
      <c r="D1214" s="42"/>
      <c r="E1214" s="42"/>
      <c r="F1214" s="42"/>
      <c r="G1214" s="42"/>
      <c r="H1214" s="30"/>
      <c r="I1214" s="31"/>
      <c r="J1214" s="42"/>
      <c r="K1214" s="42"/>
      <c r="L1214" s="42"/>
    </row>
    <row r="1215" spans="1:12" ht="18.75" customHeight="1" x14ac:dyDescent="0.25">
      <c r="A1215" s="132"/>
      <c r="B1215" s="42"/>
      <c r="C1215" s="42"/>
      <c r="D1215" s="42"/>
      <c r="E1215" s="42"/>
      <c r="F1215" s="42"/>
      <c r="G1215" s="42"/>
      <c r="H1215" s="30"/>
      <c r="I1215" s="31"/>
      <c r="J1215" s="42"/>
      <c r="K1215" s="42"/>
      <c r="L1215" s="42"/>
    </row>
    <row r="1216" spans="1:12" ht="18.75" customHeight="1" x14ac:dyDescent="0.25">
      <c r="A1216" s="132"/>
      <c r="B1216" s="42"/>
      <c r="C1216" s="42"/>
      <c r="D1216" s="42"/>
      <c r="E1216" s="42"/>
      <c r="F1216" s="42"/>
      <c r="G1216" s="42"/>
      <c r="H1216" s="30"/>
      <c r="I1216" s="31"/>
      <c r="J1216" s="42"/>
      <c r="K1216" s="42"/>
      <c r="L1216" s="42"/>
    </row>
    <row r="1217" spans="1:12" ht="18.75" customHeight="1" x14ac:dyDescent="0.25">
      <c r="A1217" s="132"/>
      <c r="B1217" s="42"/>
      <c r="C1217" s="42"/>
      <c r="D1217" s="42"/>
      <c r="E1217" s="42"/>
      <c r="F1217" s="42"/>
      <c r="G1217" s="42"/>
      <c r="H1217" s="30"/>
      <c r="I1217" s="31"/>
      <c r="J1217" s="42"/>
      <c r="K1217" s="42"/>
      <c r="L1217" s="42"/>
    </row>
    <row r="1218" spans="1:12" ht="18.75" customHeight="1" x14ac:dyDescent="0.25">
      <c r="A1218" s="132" t="s">
        <v>645</v>
      </c>
      <c r="B1218" s="332" t="s">
        <v>638</v>
      </c>
      <c r="C1218" s="42"/>
      <c r="D1218" s="42"/>
      <c r="E1218" s="42"/>
      <c r="F1218" s="42"/>
      <c r="G1218" s="42"/>
      <c r="H1218" s="30"/>
      <c r="I1218" s="31"/>
      <c r="J1218" s="42"/>
      <c r="K1218" s="42"/>
      <c r="L1218" s="42"/>
    </row>
    <row r="1219" spans="1:12" ht="18.75" customHeight="1" x14ac:dyDescent="0.25">
      <c r="A1219" s="132"/>
      <c r="B1219" s="247" t="s">
        <v>258</v>
      </c>
      <c r="C1219" s="247"/>
      <c r="D1219" s="247"/>
      <c r="E1219" s="247"/>
      <c r="F1219" s="247"/>
      <c r="G1219" s="57" t="s">
        <v>204</v>
      </c>
      <c r="H1219" s="69">
        <f>'Input (3) &amp; Process (4)'!H18</f>
        <v>0.81195046302450269</v>
      </c>
      <c r="I1219" s="259" t="s">
        <v>2</v>
      </c>
      <c r="J1219" s="42"/>
      <c r="K1219" s="42"/>
      <c r="L1219" s="42"/>
    </row>
    <row r="1220" spans="1:12" ht="18.75" customHeight="1" x14ac:dyDescent="0.25">
      <c r="A1220" s="132"/>
      <c r="B1220" s="247" t="s">
        <v>259</v>
      </c>
      <c r="C1220" s="247"/>
      <c r="D1220" s="247"/>
      <c r="E1220" s="247"/>
      <c r="F1220" s="247"/>
      <c r="G1220" s="57" t="s">
        <v>245</v>
      </c>
      <c r="H1220" s="69">
        <f>'Input (3) &amp; Process (4)'!H19</f>
        <v>0.41398802635392218</v>
      </c>
      <c r="I1220" s="259" t="s">
        <v>128</v>
      </c>
      <c r="J1220" s="42"/>
      <c r="K1220" s="42"/>
      <c r="L1220" s="42"/>
    </row>
    <row r="1221" spans="1:12" ht="18.75" customHeight="1" x14ac:dyDescent="0.25">
      <c r="A1221" s="132"/>
      <c r="B1221" s="247" t="s">
        <v>260</v>
      </c>
      <c r="C1221" s="247"/>
      <c r="D1221" s="247"/>
      <c r="E1221" s="247"/>
      <c r="F1221" s="247"/>
      <c r="G1221" s="57" t="s">
        <v>108</v>
      </c>
      <c r="H1221" s="69">
        <f>'Input (3) &amp; Process (4)'!H20</f>
        <v>0.75230000000000019</v>
      </c>
      <c r="I1221" s="259" t="s">
        <v>127</v>
      </c>
      <c r="J1221" s="42"/>
      <c r="K1221" s="42"/>
      <c r="L1221" s="42"/>
    </row>
    <row r="1222" spans="1:12" ht="18.75" customHeight="1" x14ac:dyDescent="0.25">
      <c r="A1222" s="132"/>
      <c r="B1222" s="247" t="s">
        <v>304</v>
      </c>
      <c r="C1222" s="247"/>
      <c r="D1222" s="247"/>
      <c r="E1222" s="247"/>
      <c r="F1222" s="247"/>
      <c r="G1222" s="57" t="s">
        <v>246</v>
      </c>
      <c r="H1222" s="73">
        <f>'Input (3) &amp; Process (4)'!H21</f>
        <v>29725.410005582766</v>
      </c>
      <c r="I1222" s="259" t="s">
        <v>28</v>
      </c>
      <c r="J1222" s="42"/>
      <c r="K1222" s="42"/>
      <c r="L1222" s="42"/>
    </row>
    <row r="1223" spans="1:12" ht="18.75" customHeight="1" x14ac:dyDescent="0.25">
      <c r="A1223" s="132"/>
      <c r="B1223" s="247" t="s">
        <v>261</v>
      </c>
      <c r="C1223" s="247"/>
      <c r="D1223" s="247"/>
      <c r="E1223" s="247"/>
      <c r="F1223" s="247"/>
      <c r="G1223" s="57" t="s">
        <v>247</v>
      </c>
      <c r="H1223" s="77">
        <f>'Input (3) &amp; Process (4)'!H22</f>
        <v>193000</v>
      </c>
      <c r="I1223" s="259" t="s">
        <v>28</v>
      </c>
      <c r="J1223" s="42"/>
      <c r="K1223" s="42"/>
      <c r="L1223" s="42"/>
    </row>
    <row r="1224" spans="1:12" ht="18.75" customHeight="1" x14ac:dyDescent="0.25">
      <c r="A1224" s="132"/>
      <c r="B1224" s="247" t="s">
        <v>262</v>
      </c>
      <c r="C1224" s="247"/>
      <c r="D1224" s="247"/>
      <c r="E1224" s="247"/>
      <c r="F1224" s="247"/>
      <c r="G1224" s="57" t="s">
        <v>162</v>
      </c>
      <c r="H1224" s="77">
        <f>'Input (3) &amp; Process (4)'!H23</f>
        <v>68</v>
      </c>
      <c r="I1224" s="259"/>
      <c r="J1224" s="42"/>
      <c r="K1224" s="42"/>
      <c r="L1224" s="42"/>
    </row>
    <row r="1225" spans="1:12" ht="18.75" customHeight="1" x14ac:dyDescent="0.25">
      <c r="A1225" s="132"/>
      <c r="B1225" s="247" t="s">
        <v>263</v>
      </c>
      <c r="C1225" s="247"/>
      <c r="D1225" s="247"/>
      <c r="E1225" s="247"/>
      <c r="F1225" s="247"/>
      <c r="G1225" s="57" t="s">
        <v>248</v>
      </c>
      <c r="H1225" s="80">
        <f>'Input (3) &amp; Process (4)'!H24</f>
        <v>9.87E-5</v>
      </c>
      <c r="I1225" s="259" t="s">
        <v>127</v>
      </c>
      <c r="J1225" s="42"/>
      <c r="K1225" s="42"/>
      <c r="L1225" s="42"/>
    </row>
    <row r="1226" spans="1:12" ht="18.75" customHeight="1" x14ac:dyDescent="0.25">
      <c r="A1226" s="132"/>
      <c r="B1226" s="247" t="s">
        <v>264</v>
      </c>
      <c r="C1226" s="247"/>
      <c r="D1226" s="247"/>
      <c r="E1226" s="247"/>
      <c r="F1226" s="247"/>
      <c r="G1226" s="57" t="s">
        <v>159</v>
      </c>
      <c r="H1226" s="81">
        <f>'Input (3) &amp; Process (4)'!H25</f>
        <v>183.58199999999999</v>
      </c>
      <c r="I1226" s="259" t="s">
        <v>40</v>
      </c>
      <c r="J1226" s="42"/>
      <c r="K1226" s="42"/>
      <c r="L1226" s="42"/>
    </row>
    <row r="1227" spans="1:12" ht="18.75" customHeight="1" x14ac:dyDescent="0.25">
      <c r="A1227" s="132"/>
      <c r="B1227" s="247" t="s">
        <v>139</v>
      </c>
      <c r="C1227" s="247"/>
      <c r="D1227" s="247"/>
      <c r="E1227" s="247"/>
      <c r="F1227" s="247"/>
      <c r="G1227" s="251" t="s">
        <v>146</v>
      </c>
      <c r="H1227" s="25">
        <f>'Input (3) &amp; Process (4)'!H26</f>
        <v>3611.0400000000013</v>
      </c>
      <c r="I1227" s="501" t="s">
        <v>42</v>
      </c>
      <c r="J1227" s="42"/>
      <c r="K1227" s="42"/>
      <c r="L1227" s="42"/>
    </row>
    <row r="1228" spans="1:12" ht="18.75" customHeight="1" x14ac:dyDescent="0.25">
      <c r="A1228" s="132"/>
      <c r="B1228" s="247" t="s">
        <v>265</v>
      </c>
      <c r="C1228" s="247"/>
      <c r="D1228" s="247"/>
      <c r="E1228" s="247"/>
      <c r="F1228" s="247"/>
      <c r="G1228" s="57" t="s">
        <v>249</v>
      </c>
      <c r="H1228" s="69">
        <f>'Input (3) &amp; Process (4)'!H27</f>
        <v>6.7115999999999999E-3</v>
      </c>
      <c r="I1228" s="259" t="s">
        <v>127</v>
      </c>
      <c r="J1228" s="42"/>
      <c r="K1228" s="42"/>
      <c r="L1228" s="42"/>
    </row>
    <row r="1229" spans="1:12" ht="18.75" customHeight="1" x14ac:dyDescent="0.25">
      <c r="A1229" s="132"/>
      <c r="B1229" s="247" t="s">
        <v>266</v>
      </c>
      <c r="C1229" s="247"/>
      <c r="D1229" s="247"/>
      <c r="E1229" s="247"/>
      <c r="F1229" s="247"/>
      <c r="G1229" s="57" t="s">
        <v>250</v>
      </c>
      <c r="H1229" s="69">
        <f>'Input (3) &amp; Process (4)'!H28</f>
        <v>6.4927615788563537</v>
      </c>
      <c r="I1229" s="259"/>
      <c r="J1229" s="42"/>
      <c r="K1229" s="42"/>
      <c r="L1229" s="42"/>
    </row>
    <row r="1230" spans="1:12" ht="18.75" customHeight="1" x14ac:dyDescent="0.25">
      <c r="A1230" s="132"/>
      <c r="B1230" s="247" t="s">
        <v>267</v>
      </c>
      <c r="C1230" s="247"/>
      <c r="D1230" s="247"/>
      <c r="E1230" s="247"/>
      <c r="F1230" s="247"/>
      <c r="G1230" s="57" t="s">
        <v>251</v>
      </c>
      <c r="H1230" s="69">
        <f>'Input (3) &amp; Process (4)'!H29</f>
        <v>0.74181969462258879</v>
      </c>
      <c r="I1230" s="259" t="s">
        <v>2</v>
      </c>
      <c r="J1230" s="42"/>
      <c r="K1230" s="42"/>
      <c r="L1230" s="42"/>
    </row>
    <row r="1231" spans="1:12" ht="18.75" customHeight="1" x14ac:dyDescent="0.25">
      <c r="A1231" s="132"/>
      <c r="B1231" s="247" t="s">
        <v>257</v>
      </c>
      <c r="C1231" s="247"/>
      <c r="D1231" s="247"/>
      <c r="E1231" s="247"/>
      <c r="F1231" s="247"/>
      <c r="G1231" s="57" t="s">
        <v>564</v>
      </c>
      <c r="H1231" s="69">
        <f>'Input (3) &amp; Process (4)'!H30</f>
        <v>1.960946324869792E-2</v>
      </c>
      <c r="I1231" s="259"/>
      <c r="J1231" s="42"/>
      <c r="K1231" s="42"/>
      <c r="L1231" s="42"/>
    </row>
    <row r="1232" spans="1:12" ht="18.75" customHeight="1" x14ac:dyDescent="0.25">
      <c r="A1232" s="132"/>
      <c r="B1232" s="247" t="s">
        <v>268</v>
      </c>
      <c r="C1232" s="247"/>
      <c r="D1232" s="247"/>
      <c r="E1232" s="247"/>
      <c r="F1232" s="247"/>
      <c r="G1232" s="247"/>
      <c r="H1232" s="57"/>
      <c r="I1232" s="115"/>
      <c r="J1232" s="42"/>
      <c r="K1232" s="42"/>
      <c r="L1232" s="42"/>
    </row>
    <row r="1233" spans="1:12" ht="18.75" customHeight="1" x14ac:dyDescent="0.25">
      <c r="A1233" s="132"/>
      <c r="B1233" s="247"/>
      <c r="C1233" s="247"/>
      <c r="D1233" s="247"/>
      <c r="E1233" s="247"/>
      <c r="F1233" s="247"/>
      <c r="G1233" s="251" t="s">
        <v>273</v>
      </c>
      <c r="H1233" s="82">
        <f>'Input (3) &amp; Process (4)'!H32</f>
        <v>1860000</v>
      </c>
      <c r="I1233" s="259" t="s">
        <v>135</v>
      </c>
      <c r="J1233" s="42"/>
      <c r="K1233" s="42"/>
      <c r="L1233" s="42"/>
    </row>
    <row r="1234" spans="1:12" ht="18.75" customHeight="1" x14ac:dyDescent="0.25">
      <c r="A1234" s="132"/>
      <c r="B1234" s="661" t="s">
        <v>269</v>
      </c>
      <c r="C1234" s="661"/>
      <c r="D1234" s="661"/>
      <c r="E1234" s="661"/>
      <c r="F1234" s="661"/>
      <c r="G1234" s="661"/>
      <c r="H1234" s="661"/>
      <c r="I1234" s="661"/>
      <c r="J1234" s="42"/>
      <c r="K1234" s="42"/>
      <c r="L1234" s="42"/>
    </row>
    <row r="1235" spans="1:12" ht="18.75" customHeight="1" x14ac:dyDescent="0.25">
      <c r="A1235" s="132"/>
      <c r="B1235" s="661"/>
      <c r="C1235" s="661"/>
      <c r="D1235" s="661"/>
      <c r="E1235" s="661"/>
      <c r="F1235" s="661"/>
      <c r="G1235" s="661"/>
      <c r="H1235" s="661"/>
      <c r="I1235" s="661"/>
      <c r="J1235" s="42"/>
      <c r="K1235" s="42"/>
      <c r="L1235" s="42"/>
    </row>
    <row r="1236" spans="1:12" ht="18.75" customHeight="1" x14ac:dyDescent="0.25">
      <c r="A1236" s="132"/>
      <c r="B1236" s="247"/>
      <c r="C1236" s="247"/>
      <c r="D1236" s="247"/>
      <c r="E1236" s="247"/>
      <c r="F1236" s="247"/>
      <c r="G1236" s="251" t="s">
        <v>274</v>
      </c>
      <c r="H1236" s="81">
        <f>'Input (3) &amp; Process (4)'!H34</f>
        <v>210068.56066484639</v>
      </c>
      <c r="I1236" s="259" t="s">
        <v>135</v>
      </c>
      <c r="J1236" s="42"/>
      <c r="K1236" s="42"/>
      <c r="L1236" s="42"/>
    </row>
    <row r="1237" spans="1:12" ht="18.75" customHeight="1" x14ac:dyDescent="0.25">
      <c r="A1237" s="132"/>
      <c r="B1237" s="247" t="s">
        <v>270</v>
      </c>
      <c r="C1237" s="247"/>
      <c r="D1237" s="247"/>
      <c r="E1237" s="247"/>
      <c r="F1237" s="247"/>
      <c r="G1237" s="57"/>
      <c r="H1237" s="252"/>
      <c r="I1237" s="259"/>
      <c r="J1237" s="42"/>
      <c r="K1237" s="42"/>
      <c r="L1237" s="42"/>
    </row>
    <row r="1238" spans="1:12" ht="18.75" customHeight="1" x14ac:dyDescent="0.25">
      <c r="A1238" s="132"/>
      <c r="B1238" s="247"/>
      <c r="C1238" s="247"/>
      <c r="D1238" s="247"/>
      <c r="E1238" s="247"/>
      <c r="F1238" s="247"/>
      <c r="G1238" s="251" t="s">
        <v>275</v>
      </c>
      <c r="H1238" s="81">
        <f>'Input (3) &amp; Process (4)'!H36</f>
        <v>25271.974268162307</v>
      </c>
      <c r="I1238" s="259" t="s">
        <v>135</v>
      </c>
      <c r="J1238" s="42"/>
      <c r="K1238" s="42"/>
      <c r="L1238" s="42"/>
    </row>
    <row r="1239" spans="1:12" ht="18.75" customHeight="1" x14ac:dyDescent="0.25">
      <c r="A1239" s="132"/>
      <c r="B1239" s="247" t="s">
        <v>271</v>
      </c>
      <c r="C1239" s="247"/>
      <c r="D1239" s="247"/>
      <c r="E1239" s="247"/>
      <c r="F1239" s="247"/>
      <c r="G1239" s="57"/>
      <c r="H1239" s="252"/>
      <c r="I1239" s="259"/>
      <c r="J1239" s="42"/>
      <c r="K1239" s="42"/>
      <c r="L1239" s="42"/>
    </row>
    <row r="1240" spans="1:12" ht="18.75" customHeight="1" x14ac:dyDescent="0.25">
      <c r="A1240" s="132"/>
      <c r="B1240" s="247"/>
      <c r="C1240" s="247"/>
      <c r="D1240" s="247"/>
      <c r="E1240" s="247"/>
      <c r="F1240" s="247"/>
      <c r="G1240" s="251" t="s">
        <v>276</v>
      </c>
      <c r="H1240" s="81">
        <f>'Input (3) &amp; Process (4)'!H38</f>
        <v>82042.451775085327</v>
      </c>
      <c r="I1240" s="259" t="s">
        <v>135</v>
      </c>
      <c r="J1240" s="42"/>
      <c r="K1240" s="42"/>
      <c r="L1240" s="42"/>
    </row>
    <row r="1241" spans="1:12" ht="18.75" customHeight="1" x14ac:dyDescent="0.25">
      <c r="A1241" s="132"/>
      <c r="B1241" s="247" t="s">
        <v>272</v>
      </c>
      <c r="C1241" s="247"/>
      <c r="D1241" s="247"/>
      <c r="E1241" s="247"/>
      <c r="F1241" s="247"/>
      <c r="G1241" s="251" t="s">
        <v>376</v>
      </c>
      <c r="H1241" s="81">
        <f>'Input (3) &amp; Process (4)'!H39</f>
        <v>550.63611933366269</v>
      </c>
      <c r="I1241" s="259" t="s">
        <v>40</v>
      </c>
      <c r="J1241" s="42"/>
      <c r="K1241" s="42"/>
      <c r="L1241" s="42"/>
    </row>
    <row r="1242" spans="1:12" ht="18.75" customHeight="1" x14ac:dyDescent="0.25">
      <c r="A1242" s="132"/>
      <c r="B1242" s="42"/>
      <c r="C1242" s="42"/>
      <c r="D1242" s="42"/>
      <c r="E1242" s="42"/>
      <c r="F1242" s="42"/>
      <c r="G1242" s="42"/>
      <c r="H1242" s="30"/>
      <c r="I1242" s="31"/>
      <c r="J1242" s="42"/>
      <c r="K1242" s="42"/>
      <c r="L1242" s="42"/>
    </row>
    <row r="1243" spans="1:12" ht="18.75" customHeight="1" x14ac:dyDescent="0.25">
      <c r="A1243" s="132" t="s">
        <v>1320</v>
      </c>
      <c r="B1243" s="332" t="s">
        <v>639</v>
      </c>
      <c r="C1243" s="42"/>
      <c r="D1243" s="42"/>
      <c r="E1243" s="42"/>
      <c r="F1243" s="42"/>
      <c r="G1243" s="42"/>
      <c r="H1243" s="30"/>
      <c r="I1243" s="31"/>
      <c r="J1243" s="42"/>
      <c r="K1243" s="42"/>
      <c r="L1243" s="42"/>
    </row>
    <row r="1244" spans="1:12" ht="18.75" customHeight="1" x14ac:dyDescent="0.25">
      <c r="A1244" s="132"/>
      <c r="B1244" s="42" t="s">
        <v>277</v>
      </c>
      <c r="C1244" s="42"/>
      <c r="D1244" s="42"/>
      <c r="E1244" s="42"/>
      <c r="F1244" s="42"/>
      <c r="G1244" s="253" t="s">
        <v>284</v>
      </c>
      <c r="H1244" s="207">
        <f>'Input (3) &amp; Process (4)'!H42</f>
        <v>2E-3</v>
      </c>
      <c r="I1244" s="32" t="s">
        <v>2</v>
      </c>
      <c r="J1244" s="42"/>
      <c r="K1244" s="42"/>
      <c r="L1244" s="42"/>
    </row>
    <row r="1245" spans="1:12" ht="18.75" customHeight="1" x14ac:dyDescent="0.25">
      <c r="A1245" s="132"/>
      <c r="B1245" s="42" t="s">
        <v>278</v>
      </c>
      <c r="C1245" s="42"/>
      <c r="D1245" s="42"/>
      <c r="E1245" s="42"/>
      <c r="F1245" s="42"/>
      <c r="G1245" s="30" t="s">
        <v>247</v>
      </c>
      <c r="H1245" s="207">
        <f>'Input (3) &amp; Process (4)'!H43</f>
        <v>193000</v>
      </c>
      <c r="I1245" s="32" t="s">
        <v>28</v>
      </c>
      <c r="J1245" s="42"/>
      <c r="K1245" s="42"/>
      <c r="L1245" s="42"/>
    </row>
    <row r="1246" spans="1:12" ht="18.75" customHeight="1" x14ac:dyDescent="0.25">
      <c r="A1246" s="132"/>
      <c r="B1246" s="42" t="s">
        <v>265</v>
      </c>
      <c r="C1246" s="42"/>
      <c r="D1246" s="42"/>
      <c r="E1246" s="42"/>
      <c r="F1246" s="42"/>
      <c r="G1246" s="30" t="s">
        <v>285</v>
      </c>
      <c r="H1246" s="20">
        <f>'Input (3) &amp; Process (4)'!H44</f>
        <v>6.7115999999999999E-3</v>
      </c>
      <c r="I1246" s="32" t="s">
        <v>127</v>
      </c>
      <c r="J1246" s="42"/>
      <c r="K1246" s="42"/>
      <c r="L1246" s="42"/>
    </row>
    <row r="1247" spans="1:12" ht="18.75" customHeight="1" x14ac:dyDescent="0.25">
      <c r="A1247" s="132"/>
      <c r="B1247" s="42" t="s">
        <v>279</v>
      </c>
      <c r="C1247" s="42"/>
      <c r="D1247" s="42"/>
      <c r="E1247" s="42"/>
      <c r="F1247" s="42"/>
      <c r="G1247" s="30" t="s">
        <v>286</v>
      </c>
      <c r="H1247" s="459">
        <f>'Input (3) &amp; Process (4)'!H45</f>
        <v>9608.3735003167276</v>
      </c>
      <c r="I1247" s="32" t="s">
        <v>40</v>
      </c>
      <c r="J1247" s="42"/>
      <c r="K1247" s="42"/>
      <c r="L1247" s="42"/>
    </row>
    <row r="1248" spans="1:12" ht="18.75" customHeight="1" x14ac:dyDescent="0.25">
      <c r="A1248" s="132"/>
      <c r="B1248" s="42" t="s">
        <v>280</v>
      </c>
      <c r="C1248" s="42"/>
      <c r="D1248" s="42"/>
      <c r="E1248" s="42"/>
      <c r="F1248" s="42"/>
      <c r="G1248" s="30" t="s">
        <v>287</v>
      </c>
      <c r="H1248" s="459">
        <f>'Input (3) &amp; Process (4)'!H46</f>
        <v>9416.8127703820446</v>
      </c>
      <c r="I1248" s="32" t="s">
        <v>40</v>
      </c>
      <c r="J1248" s="42"/>
      <c r="K1248" s="42"/>
      <c r="L1248" s="42"/>
    </row>
    <row r="1249" spans="1:12" ht="18.75" customHeight="1" x14ac:dyDescent="0.25">
      <c r="A1249" s="132"/>
      <c r="B1249" s="42" t="s">
        <v>281</v>
      </c>
      <c r="C1249" s="42"/>
      <c r="D1249" s="42"/>
      <c r="E1249" s="42"/>
      <c r="F1249" s="42"/>
      <c r="G1249" s="30" t="s">
        <v>288</v>
      </c>
      <c r="H1249" s="6">
        <f>'Input (3) &amp; Process (4)'!H47</f>
        <v>20.399999999999999</v>
      </c>
      <c r="I1249" s="32" t="s">
        <v>2</v>
      </c>
      <c r="J1249" s="42"/>
      <c r="K1249" s="42"/>
      <c r="L1249" s="42"/>
    </row>
    <row r="1250" spans="1:12" ht="18.75" customHeight="1" x14ac:dyDescent="0.25">
      <c r="A1250" s="132"/>
      <c r="B1250" s="42" t="s">
        <v>282</v>
      </c>
      <c r="C1250" s="42"/>
      <c r="D1250" s="42"/>
      <c r="E1250" s="42"/>
      <c r="F1250" s="42"/>
      <c r="G1250" s="30" t="s">
        <v>289</v>
      </c>
      <c r="H1250" s="459">
        <f>'Input (3) &amp; Process (4)'!H48</f>
        <v>9.3902318595432828</v>
      </c>
      <c r="I1250" s="32" t="s">
        <v>39</v>
      </c>
      <c r="J1250" s="42"/>
      <c r="K1250" s="42"/>
      <c r="L1250" s="42"/>
    </row>
    <row r="1251" spans="1:12" ht="18.75" customHeight="1" x14ac:dyDescent="0.25">
      <c r="A1251" s="132"/>
      <c r="B1251" s="42" t="s">
        <v>283</v>
      </c>
      <c r="C1251" s="42"/>
      <c r="D1251" s="42"/>
      <c r="E1251" s="42"/>
      <c r="F1251" s="42"/>
      <c r="G1251" s="30" t="s">
        <v>290</v>
      </c>
      <c r="H1251" s="459">
        <f>'Input (3) &amp; Process (4)'!H49</f>
        <v>16.609957725572155</v>
      </c>
      <c r="I1251" s="32" t="s">
        <v>2</v>
      </c>
      <c r="J1251" s="42"/>
      <c r="K1251" s="42"/>
      <c r="L1251" s="42"/>
    </row>
    <row r="1252" spans="1:12" ht="18.75" customHeight="1" x14ac:dyDescent="0.25">
      <c r="A1252" s="132"/>
      <c r="B1252" s="42" t="s">
        <v>294</v>
      </c>
      <c r="C1252" s="42"/>
      <c r="D1252" s="42"/>
      <c r="E1252" s="42"/>
      <c r="F1252" s="42"/>
      <c r="G1252" s="253" t="s">
        <v>291</v>
      </c>
      <c r="H1252" s="459">
        <f>'Input (3) &amp; Process (4)'!H50</f>
        <v>311.94270844066943</v>
      </c>
      <c r="I1252" s="32" t="s">
        <v>40</v>
      </c>
      <c r="J1252" s="42"/>
      <c r="K1252" s="42"/>
      <c r="L1252" s="42"/>
    </row>
    <row r="1253" spans="1:12" ht="18.75" customHeight="1" x14ac:dyDescent="0.25">
      <c r="A1253" s="132"/>
      <c r="B1253" s="42"/>
      <c r="C1253" s="42"/>
      <c r="D1253" s="42"/>
      <c r="E1253" s="42"/>
      <c r="F1253" s="42"/>
      <c r="G1253" s="30" t="s">
        <v>292</v>
      </c>
      <c r="H1253" s="459">
        <f>'Input (3) &amp; Process (4)'!H51</f>
        <v>9452.4021460963922</v>
      </c>
      <c r="I1253" s="32" t="s">
        <v>40</v>
      </c>
      <c r="J1253" s="42"/>
      <c r="K1253" s="42"/>
      <c r="L1253" s="42"/>
    </row>
    <row r="1254" spans="1:12" ht="18.75" customHeight="1" x14ac:dyDescent="0.25">
      <c r="A1254" s="132"/>
      <c r="B1254" s="42" t="s">
        <v>295</v>
      </c>
      <c r="C1254" s="42"/>
      <c r="D1254" s="42"/>
      <c r="E1254" s="42"/>
      <c r="F1254" s="42"/>
      <c r="G1254" s="30" t="s">
        <v>377</v>
      </c>
      <c r="H1254" s="459">
        <f>'Input (3) &amp; Process (4)'!H52</f>
        <v>8901.7660267627289</v>
      </c>
      <c r="I1254" s="32" t="s">
        <v>40</v>
      </c>
      <c r="J1254" s="42"/>
      <c r="K1254" s="42"/>
      <c r="L1254" s="42"/>
    </row>
    <row r="1255" spans="1:12" ht="18.75" customHeight="1" x14ac:dyDescent="0.25">
      <c r="A1255" s="132" t="s">
        <v>1321</v>
      </c>
      <c r="B1255" s="332" t="s">
        <v>640</v>
      </c>
      <c r="C1255" s="42"/>
      <c r="D1255" s="42"/>
      <c r="E1255" s="42"/>
      <c r="F1255" s="42"/>
      <c r="G1255" s="42"/>
      <c r="H1255" s="30"/>
      <c r="I1255" s="31"/>
      <c r="J1255" s="42"/>
      <c r="K1255" s="42"/>
      <c r="L1255" s="42"/>
    </row>
    <row r="1256" spans="1:12" ht="18.75" customHeight="1" x14ac:dyDescent="0.25">
      <c r="A1256" s="132"/>
      <c r="B1256" s="255" t="s">
        <v>379</v>
      </c>
      <c r="C1256" s="42"/>
      <c r="D1256" s="42"/>
      <c r="E1256" s="42"/>
      <c r="F1256" s="42"/>
      <c r="G1256" s="42"/>
      <c r="H1256" s="30"/>
      <c r="I1256" s="31"/>
      <c r="J1256" s="42"/>
      <c r="K1256" s="42"/>
      <c r="L1256" s="42"/>
    </row>
    <row r="1257" spans="1:12" ht="18.75" customHeight="1" x14ac:dyDescent="0.25">
      <c r="A1257" s="132"/>
      <c r="B1257" s="255" t="s">
        <v>325</v>
      </c>
      <c r="C1257" s="42"/>
      <c r="D1257" s="30" t="s">
        <v>41</v>
      </c>
      <c r="E1257" s="480">
        <f>'Input (3) &amp; Process (4)'!E56</f>
        <v>70</v>
      </c>
      <c r="F1257" s="42" t="s">
        <v>336</v>
      </c>
      <c r="G1257" s="30" t="s">
        <v>343</v>
      </c>
      <c r="H1257" s="20">
        <f>'Input (3) &amp; Process (4)'!H56</f>
        <v>0.80099999999999993</v>
      </c>
      <c r="I1257" s="31"/>
      <c r="J1257" s="42"/>
      <c r="K1257" s="42"/>
      <c r="L1257" s="42"/>
    </row>
    <row r="1258" spans="1:12" ht="18.75" customHeight="1" x14ac:dyDescent="0.25">
      <c r="A1258" s="132"/>
      <c r="B1258" s="255" t="s">
        <v>326</v>
      </c>
      <c r="C1258" s="42"/>
      <c r="D1258" s="30" t="s">
        <v>331</v>
      </c>
      <c r="E1258" s="493">
        <f>'Input (3) &amp; Process (4)'!E57</f>
        <v>15</v>
      </c>
      <c r="F1258" s="42" t="s">
        <v>334</v>
      </c>
      <c r="G1258" s="30" t="s">
        <v>344</v>
      </c>
      <c r="H1258" s="20">
        <f>'Input (3) &amp; Process (4)'!H57</f>
        <v>1.0015000000000001</v>
      </c>
      <c r="I1258" s="31"/>
      <c r="J1258" s="42"/>
      <c r="K1258" s="42"/>
      <c r="L1258" s="42"/>
    </row>
    <row r="1259" spans="1:12" ht="18.75" customHeight="1" x14ac:dyDescent="0.25">
      <c r="A1259" s="132"/>
      <c r="B1259" s="255" t="s">
        <v>327</v>
      </c>
      <c r="C1259" s="42"/>
      <c r="D1259" s="30" t="s">
        <v>11</v>
      </c>
      <c r="E1259" s="493">
        <f>'Input (3) &amp; Process (4)'!E58</f>
        <v>7.5</v>
      </c>
      <c r="F1259" s="42" t="s">
        <v>334</v>
      </c>
      <c r="G1259" s="30" t="s">
        <v>345</v>
      </c>
      <c r="H1259" s="20">
        <f>'Input (3) &amp; Process (4)'!H58</f>
        <v>0.625</v>
      </c>
      <c r="I1259" s="31"/>
      <c r="J1259" s="42"/>
      <c r="K1259" s="42"/>
      <c r="L1259" s="42"/>
    </row>
    <row r="1260" spans="1:12" ht="18.75" customHeight="1" x14ac:dyDescent="0.25">
      <c r="A1260" s="132"/>
      <c r="B1260" s="255" t="s">
        <v>328</v>
      </c>
      <c r="C1260" s="42"/>
      <c r="D1260" s="30" t="s">
        <v>332</v>
      </c>
      <c r="E1260" s="494">
        <f>'Input (3) &amp; Process (4)'!E59</f>
        <v>50</v>
      </c>
      <c r="F1260" s="42" t="s">
        <v>336</v>
      </c>
      <c r="G1260" s="30" t="s">
        <v>346</v>
      </c>
      <c r="H1260" s="20">
        <f>'Input (3) &amp; Process (4)'!H59</f>
        <v>1</v>
      </c>
      <c r="I1260" s="31"/>
      <c r="J1260" s="42"/>
      <c r="K1260" s="42"/>
      <c r="L1260" s="42"/>
    </row>
    <row r="1261" spans="1:12" ht="18.75" customHeight="1" x14ac:dyDescent="0.25">
      <c r="A1261" s="132"/>
      <c r="B1261" s="255" t="s">
        <v>348</v>
      </c>
      <c r="C1261" s="42"/>
      <c r="D1261" s="30" t="s">
        <v>350</v>
      </c>
      <c r="E1261" s="493">
        <f>'Input (3) &amp; Process (4)'!E60</f>
        <v>28</v>
      </c>
      <c r="F1261" s="42" t="s">
        <v>324</v>
      </c>
      <c r="G1261" s="30" t="s">
        <v>349</v>
      </c>
      <c r="H1261" s="20">
        <f>'Input (3) &amp; Process (4)'!H60</f>
        <v>0.84361708264360946</v>
      </c>
      <c r="I1261" s="31"/>
      <c r="J1261" s="42"/>
      <c r="K1261" s="42"/>
      <c r="L1261" s="42"/>
    </row>
    <row r="1262" spans="1:12" ht="18.75" customHeight="1" x14ac:dyDescent="0.25">
      <c r="A1262" s="132"/>
      <c r="B1262" s="255" t="s">
        <v>330</v>
      </c>
      <c r="C1262" s="42"/>
      <c r="D1262" s="30" t="s">
        <v>333</v>
      </c>
      <c r="E1262" s="494">
        <f>'Input (3) &amp; Process (4)'!E61</f>
        <v>6</v>
      </c>
      <c r="F1262" s="42" t="s">
        <v>336</v>
      </c>
      <c r="G1262" s="30" t="s">
        <v>347</v>
      </c>
      <c r="H1262" s="20">
        <f>'Input (3) &amp; Process (4)'!H61</f>
        <v>1</v>
      </c>
      <c r="I1262" s="31"/>
      <c r="J1262" s="42"/>
      <c r="K1262" s="42"/>
      <c r="L1262" s="42"/>
    </row>
    <row r="1263" spans="1:12" ht="18.75" customHeight="1" x14ac:dyDescent="0.25">
      <c r="A1263" s="132"/>
      <c r="B1263" s="42" t="s">
        <v>300</v>
      </c>
      <c r="C1263" s="42"/>
      <c r="D1263" s="42"/>
      <c r="E1263" s="42"/>
      <c r="F1263" s="42"/>
      <c r="I1263" s="32"/>
      <c r="J1263" s="42"/>
      <c r="K1263" s="42"/>
      <c r="L1263" s="42"/>
    </row>
    <row r="1264" spans="1:12" ht="18.75" customHeight="1" x14ac:dyDescent="0.25">
      <c r="A1264" s="132"/>
      <c r="B1264" s="42"/>
      <c r="C1264" s="42"/>
      <c r="D1264" s="42"/>
      <c r="E1264" s="42"/>
      <c r="F1264" s="42"/>
      <c r="G1264" s="30" t="s">
        <v>351</v>
      </c>
      <c r="H1264" s="20">
        <f>'Input (3) &amp; Process (4)'!H62</f>
        <v>0.99397786839841851</v>
      </c>
      <c r="I1264" s="32"/>
      <c r="J1264" s="42"/>
      <c r="K1264" s="42"/>
      <c r="L1264" s="42"/>
    </row>
    <row r="1265" spans="1:12" ht="18.75" customHeight="1" x14ac:dyDescent="0.25">
      <c r="A1265" s="132"/>
      <c r="B1265" s="247" t="s">
        <v>301</v>
      </c>
      <c r="C1265" s="247"/>
      <c r="D1265" s="247"/>
      <c r="E1265" s="247"/>
      <c r="F1265" s="247"/>
      <c r="G1265" s="57" t="s">
        <v>302</v>
      </c>
      <c r="H1265" s="495">
        <f>'Input (3) &amp; Process (4)'!H63</f>
        <v>28</v>
      </c>
      <c r="I1265" s="259" t="s">
        <v>324</v>
      </c>
      <c r="J1265" s="42"/>
      <c r="K1265" s="42"/>
      <c r="L1265" s="42"/>
    </row>
    <row r="1266" spans="1:12" ht="18.75" customHeight="1" x14ac:dyDescent="0.25">
      <c r="A1266" s="132"/>
      <c r="B1266" s="42" t="s">
        <v>308</v>
      </c>
      <c r="C1266" s="42"/>
      <c r="D1266" s="42"/>
      <c r="E1266" s="42"/>
      <c r="F1266" s="42"/>
      <c r="G1266" s="30" t="s">
        <v>303</v>
      </c>
      <c r="H1266" s="6">
        <f>'Input (3) &amp; Process (4)'!H64</f>
        <v>0.4222021983604346</v>
      </c>
      <c r="I1266" s="32"/>
      <c r="J1266" s="42"/>
      <c r="K1266" s="42"/>
      <c r="L1266" s="42"/>
    </row>
    <row r="1267" spans="1:12" ht="18.75" customHeight="1" x14ac:dyDescent="0.25">
      <c r="A1267" s="132"/>
      <c r="B1267" s="42" t="s">
        <v>278</v>
      </c>
      <c r="C1267" s="42"/>
      <c r="D1267" s="42"/>
      <c r="E1267" s="42"/>
      <c r="F1267" s="42"/>
      <c r="G1267" s="30" t="s">
        <v>247</v>
      </c>
      <c r="H1267" s="207">
        <f>'Input (3) &amp; Process (4)'!H65</f>
        <v>193000</v>
      </c>
      <c r="I1267" s="32" t="s">
        <v>28</v>
      </c>
      <c r="J1267" s="42"/>
      <c r="K1267" s="42"/>
      <c r="L1267" s="42"/>
    </row>
    <row r="1268" spans="1:12" ht="18.75" customHeight="1" x14ac:dyDescent="0.25">
      <c r="A1268" s="132"/>
      <c r="B1268" s="42" t="s">
        <v>293</v>
      </c>
      <c r="C1268" s="42"/>
      <c r="D1268" s="42"/>
      <c r="E1268" s="42"/>
      <c r="F1268" s="42"/>
      <c r="G1268" s="30" t="s">
        <v>246</v>
      </c>
      <c r="H1268" s="6">
        <f>'Input (3) &amp; Process (4)'!H66</f>
        <v>29725.410005582766</v>
      </c>
      <c r="I1268" s="32" t="s">
        <v>28</v>
      </c>
      <c r="J1268" s="42"/>
      <c r="K1268" s="42"/>
      <c r="L1268" s="42"/>
    </row>
    <row r="1269" spans="1:12" ht="18.75" customHeight="1" x14ac:dyDescent="0.25">
      <c r="A1269" s="132"/>
      <c r="B1269" s="42" t="s">
        <v>258</v>
      </c>
      <c r="C1269" s="42"/>
      <c r="D1269" s="42"/>
      <c r="E1269" s="42"/>
      <c r="F1269" s="42"/>
      <c r="G1269" s="30" t="s">
        <v>204</v>
      </c>
      <c r="H1269" s="20">
        <f>'Input (3) &amp; Process (4)'!H67</f>
        <v>0.81195046302450269</v>
      </c>
      <c r="I1269" s="32" t="s">
        <v>2</v>
      </c>
      <c r="J1269" s="42"/>
      <c r="K1269" s="42"/>
      <c r="L1269" s="42"/>
    </row>
    <row r="1270" spans="1:12" ht="18.75" customHeight="1" x14ac:dyDescent="0.25">
      <c r="A1270" s="132"/>
      <c r="B1270" s="42" t="s">
        <v>259</v>
      </c>
      <c r="C1270" s="42"/>
      <c r="D1270" s="42"/>
      <c r="E1270" s="42"/>
      <c r="F1270" s="42"/>
      <c r="G1270" s="30" t="s">
        <v>245</v>
      </c>
      <c r="H1270" s="20">
        <f>'Input (3) &amp; Process (4)'!H68</f>
        <v>0.41398802635392218</v>
      </c>
      <c r="I1270" s="32" t="s">
        <v>128</v>
      </c>
      <c r="J1270" s="42"/>
      <c r="K1270" s="42"/>
      <c r="L1270" s="42"/>
    </row>
    <row r="1271" spans="1:12" ht="18.75" customHeight="1" x14ac:dyDescent="0.25">
      <c r="A1271" s="132"/>
      <c r="B1271" s="42" t="s">
        <v>265</v>
      </c>
      <c r="C1271" s="42"/>
      <c r="D1271" s="42"/>
      <c r="E1271" s="42"/>
      <c r="F1271" s="42"/>
      <c r="G1271" s="30" t="s">
        <v>285</v>
      </c>
      <c r="H1271" s="20">
        <f>'Input (3) &amp; Process (4)'!H69</f>
        <v>6.7115999999999999E-3</v>
      </c>
      <c r="I1271" s="32" t="s">
        <v>127</v>
      </c>
      <c r="J1271" s="42"/>
      <c r="K1271" s="42"/>
      <c r="L1271" s="42"/>
    </row>
    <row r="1272" spans="1:12" ht="18.75" customHeight="1" x14ac:dyDescent="0.25">
      <c r="A1272" s="132"/>
      <c r="B1272" s="42" t="s">
        <v>260</v>
      </c>
      <c r="C1272" s="42"/>
      <c r="D1272" s="42"/>
      <c r="E1272" s="42"/>
      <c r="F1272" s="42"/>
      <c r="G1272" s="30" t="s">
        <v>108</v>
      </c>
      <c r="H1272" s="20">
        <f>'Input (3) &amp; Process (4)'!H70</f>
        <v>0.75230000000000019</v>
      </c>
      <c r="I1272" s="32" t="s">
        <v>127</v>
      </c>
      <c r="J1272" s="42"/>
      <c r="K1272" s="42"/>
      <c r="L1272" s="42"/>
    </row>
    <row r="1273" spans="1:12" ht="18.75" customHeight="1" x14ac:dyDescent="0.25">
      <c r="A1273" s="533"/>
      <c r="B1273" s="255" t="s">
        <v>139</v>
      </c>
      <c r="C1273" s="255"/>
      <c r="D1273" s="255"/>
      <c r="E1273" s="255"/>
      <c r="F1273" s="255"/>
      <c r="G1273" s="251" t="s">
        <v>146</v>
      </c>
      <c r="H1273" s="25">
        <f>'Input (3) &amp; Process (4)'!H71</f>
        <v>3611.0400000000013</v>
      </c>
      <c r="I1273" s="501" t="s">
        <v>42</v>
      </c>
      <c r="J1273" s="42"/>
      <c r="K1273" s="42"/>
      <c r="L1273" s="42"/>
    </row>
    <row r="1274" spans="1:12" ht="18.75" customHeight="1" x14ac:dyDescent="0.25">
      <c r="A1274" s="132"/>
      <c r="B1274" s="42" t="s">
        <v>295</v>
      </c>
      <c r="C1274" s="42"/>
      <c r="D1274" s="42"/>
      <c r="E1274" s="42"/>
      <c r="F1274" s="42"/>
      <c r="G1274" s="30" t="s">
        <v>298</v>
      </c>
      <c r="H1274" s="459">
        <f>'Input (3) &amp; Process (4)'!H72</f>
        <v>8901.7660267627289</v>
      </c>
      <c r="I1274" s="32" t="s">
        <v>40</v>
      </c>
      <c r="J1274" s="42"/>
      <c r="K1274" s="42"/>
      <c r="L1274" s="42"/>
    </row>
    <row r="1275" spans="1:12" ht="18.75" customHeight="1" x14ac:dyDescent="0.25">
      <c r="A1275" s="132"/>
      <c r="B1275" s="42" t="s">
        <v>297</v>
      </c>
      <c r="C1275" s="42"/>
      <c r="D1275" s="42"/>
      <c r="E1275" s="42"/>
      <c r="F1275" s="42"/>
      <c r="G1275" s="42"/>
      <c r="H1275" s="30"/>
      <c r="I1275" s="237"/>
      <c r="J1275" s="42"/>
      <c r="K1275" s="42"/>
      <c r="L1275" s="42"/>
    </row>
    <row r="1276" spans="1:12" ht="18.75" customHeight="1" x14ac:dyDescent="0.25">
      <c r="A1276" s="132"/>
      <c r="B1276" s="42"/>
      <c r="C1276" s="42"/>
      <c r="D1276" s="42"/>
      <c r="E1276" s="42"/>
      <c r="F1276" s="42"/>
      <c r="G1276" s="30" t="s">
        <v>322</v>
      </c>
      <c r="H1276" s="459">
        <f>'Input (3) &amp; Process (4)'!H74</f>
        <v>17285.959453051495</v>
      </c>
      <c r="I1276" s="32" t="s">
        <v>135</v>
      </c>
      <c r="J1276" s="42"/>
      <c r="K1276" s="42"/>
      <c r="L1276" s="42"/>
    </row>
    <row r="1277" spans="1:12" ht="18.75" customHeight="1" x14ac:dyDescent="0.25">
      <c r="A1277" s="132"/>
      <c r="B1277" s="42" t="s">
        <v>312</v>
      </c>
      <c r="C1277" s="42"/>
      <c r="D1277" s="42"/>
      <c r="E1277" s="42"/>
      <c r="F1277" s="42"/>
      <c r="J1277" s="42"/>
      <c r="K1277" s="42"/>
      <c r="L1277" s="42"/>
    </row>
    <row r="1278" spans="1:12" ht="18.75" customHeight="1" x14ac:dyDescent="0.25">
      <c r="A1278" s="132"/>
      <c r="B1278" s="42"/>
      <c r="C1278" s="42"/>
      <c r="D1278" s="42"/>
      <c r="E1278" s="42"/>
      <c r="F1278" s="42"/>
      <c r="G1278" s="253" t="s">
        <v>323</v>
      </c>
      <c r="H1278" s="459">
        <f>'Input (3) &amp; Process (4)'!H75</f>
        <v>318.03103386096194</v>
      </c>
      <c r="I1278" s="32" t="s">
        <v>40</v>
      </c>
      <c r="J1278" s="42"/>
      <c r="K1278" s="42"/>
      <c r="L1278" s="42"/>
    </row>
    <row r="1279" spans="1:12" ht="18.75" customHeight="1" x14ac:dyDescent="0.25">
      <c r="A1279" s="132"/>
      <c r="B1279" s="42"/>
      <c r="C1279" s="42"/>
      <c r="D1279" s="42"/>
      <c r="E1279" s="42"/>
      <c r="F1279" s="42"/>
      <c r="G1279" s="42"/>
      <c r="H1279" s="30"/>
      <c r="I1279" s="31"/>
      <c r="J1279" s="42"/>
      <c r="K1279" s="42"/>
      <c r="L1279" s="42"/>
    </row>
    <row r="1280" spans="1:12" ht="18.75" customHeight="1" x14ac:dyDescent="0.25">
      <c r="A1280" s="132" t="s">
        <v>1322</v>
      </c>
      <c r="B1280" s="332" t="s">
        <v>641</v>
      </c>
      <c r="C1280" s="42"/>
      <c r="D1280" s="42"/>
      <c r="E1280" s="42"/>
      <c r="F1280" s="42"/>
      <c r="G1280" s="42"/>
      <c r="H1280" s="30"/>
      <c r="I1280" s="31"/>
      <c r="J1280" s="42"/>
      <c r="K1280" s="42"/>
      <c r="L1280" s="42"/>
    </row>
    <row r="1281" spans="1:12" ht="18.75" customHeight="1" x14ac:dyDescent="0.25">
      <c r="A1281" s="132"/>
      <c r="B1281" s="255" t="s">
        <v>379</v>
      </c>
      <c r="C1281" s="42"/>
      <c r="D1281" s="42"/>
      <c r="E1281" s="42"/>
      <c r="F1281" s="42"/>
      <c r="G1281" s="42"/>
      <c r="H1281" s="30"/>
      <c r="I1281" s="31"/>
      <c r="J1281" s="42"/>
      <c r="K1281" s="42"/>
      <c r="L1281" s="42"/>
    </row>
    <row r="1282" spans="1:12" ht="18.75" customHeight="1" x14ac:dyDescent="0.25">
      <c r="A1282" s="132"/>
      <c r="B1282" s="255" t="s">
        <v>325</v>
      </c>
      <c r="C1282" s="42"/>
      <c r="D1282" s="30" t="s">
        <v>41</v>
      </c>
      <c r="E1282" s="480">
        <f>'Input (3) &amp; Process (4)'!E79</f>
        <v>70</v>
      </c>
      <c r="F1282" s="42" t="s">
        <v>336</v>
      </c>
      <c r="G1282" s="30" t="s">
        <v>337</v>
      </c>
      <c r="H1282" s="20">
        <f>'Input (3) &amp; Process (4)'!H79</f>
        <v>0.69999999999999984</v>
      </c>
      <c r="I1282" s="31"/>
      <c r="J1282" s="42"/>
      <c r="K1282" s="42"/>
      <c r="L1282" s="42"/>
    </row>
    <row r="1283" spans="1:12" ht="18.75" customHeight="1" x14ac:dyDescent="0.25">
      <c r="A1283" s="132"/>
      <c r="B1283" s="255" t="s">
        <v>326</v>
      </c>
      <c r="C1283" s="42"/>
      <c r="D1283" s="30" t="s">
        <v>331</v>
      </c>
      <c r="E1283" s="493">
        <f>'Input (3) &amp; Process (4)'!E80</f>
        <v>15</v>
      </c>
      <c r="F1283" s="42" t="s">
        <v>334</v>
      </c>
      <c r="G1283" s="30" t="s">
        <v>338</v>
      </c>
      <c r="H1283" s="20">
        <f>'Input (3) &amp; Process (4)'!H80</f>
        <v>1.0024999999999999</v>
      </c>
      <c r="I1283" s="31"/>
      <c r="J1283" s="42"/>
      <c r="K1283" s="42"/>
      <c r="L1283" s="42"/>
    </row>
    <row r="1284" spans="1:12" ht="18.75" customHeight="1" x14ac:dyDescent="0.25">
      <c r="A1284" s="132"/>
      <c r="B1284" s="255" t="s">
        <v>327</v>
      </c>
      <c r="C1284" s="42"/>
      <c r="D1284" s="30" t="s">
        <v>11</v>
      </c>
      <c r="E1284" s="493">
        <f>'Input (3) &amp; Process (4)'!E81</f>
        <v>7.5</v>
      </c>
      <c r="F1284" s="42" t="s">
        <v>334</v>
      </c>
      <c r="G1284" s="30" t="s">
        <v>339</v>
      </c>
      <c r="H1284" s="20">
        <f>'Input (3) &amp; Process (4)'!H81</f>
        <v>1.01</v>
      </c>
      <c r="I1284" s="31"/>
      <c r="J1284" s="42"/>
      <c r="K1284" s="42"/>
      <c r="L1284" s="42"/>
    </row>
    <row r="1285" spans="1:12" ht="18.75" customHeight="1" x14ac:dyDescent="0.25">
      <c r="A1285" s="132"/>
      <c r="B1285" s="255" t="s">
        <v>328</v>
      </c>
      <c r="C1285" s="42"/>
      <c r="D1285" s="30" t="s">
        <v>332</v>
      </c>
      <c r="E1285" s="494">
        <f>'Input (3) &amp; Process (4)'!E82</f>
        <v>50</v>
      </c>
      <c r="F1285" s="42" t="s">
        <v>336</v>
      </c>
      <c r="G1285" s="30" t="s">
        <v>340</v>
      </c>
      <c r="H1285" s="20">
        <f>'Input (3) &amp; Process (4)'!H82</f>
        <v>1</v>
      </c>
      <c r="I1285" s="31"/>
      <c r="J1285" s="42"/>
      <c r="K1285" s="42"/>
      <c r="L1285" s="42"/>
    </row>
    <row r="1286" spans="1:12" ht="18.75" customHeight="1" x14ac:dyDescent="0.25">
      <c r="A1286" s="132"/>
      <c r="B1286" s="255" t="s">
        <v>329</v>
      </c>
      <c r="C1286" s="42"/>
      <c r="D1286" s="30"/>
      <c r="E1286" s="493">
        <f>'Input (3) &amp; Process (4)'!E83</f>
        <v>500</v>
      </c>
      <c r="F1286" s="42" t="s">
        <v>335</v>
      </c>
      <c r="G1286" s="30" t="s">
        <v>341</v>
      </c>
      <c r="H1286" s="20">
        <f>'Input (3) &amp; Process (4)'!H83</f>
        <v>0.85</v>
      </c>
      <c r="I1286" s="31"/>
      <c r="J1286" s="42"/>
      <c r="K1286" s="42"/>
      <c r="L1286" s="42"/>
    </row>
    <row r="1287" spans="1:12" ht="18.75" customHeight="1" x14ac:dyDescent="0.25">
      <c r="A1287" s="132"/>
      <c r="B1287" s="255" t="s">
        <v>330</v>
      </c>
      <c r="C1287" s="42"/>
      <c r="D1287" s="30" t="s">
        <v>333</v>
      </c>
      <c r="E1287" s="494">
        <f>'Input (3) &amp; Process (4)'!E84</f>
        <v>6</v>
      </c>
      <c r="F1287" s="42" t="s">
        <v>336</v>
      </c>
      <c r="G1287" s="30" t="s">
        <v>342</v>
      </c>
      <c r="H1287" s="20">
        <f>'Input (3) &amp; Process (4)'!H84</f>
        <v>0.998</v>
      </c>
      <c r="I1287" s="31"/>
      <c r="J1287" s="42"/>
      <c r="K1287" s="42"/>
      <c r="L1287" s="42"/>
    </row>
    <row r="1288" spans="1:12" ht="18.75" customHeight="1" x14ac:dyDescent="0.25">
      <c r="A1288" s="132"/>
      <c r="B1288" s="42" t="s">
        <v>305</v>
      </c>
      <c r="C1288" s="42"/>
      <c r="D1288" s="42"/>
      <c r="E1288" s="42"/>
      <c r="F1288" s="42"/>
      <c r="G1288" s="253" t="s">
        <v>352</v>
      </c>
      <c r="H1288" s="20">
        <f>'Input (3) &amp; Process (4)'!H85</f>
        <v>0.6012474702499998</v>
      </c>
      <c r="I1288" s="32"/>
      <c r="J1288" s="42"/>
      <c r="K1288" s="42"/>
      <c r="L1288" s="42"/>
    </row>
    <row r="1289" spans="1:12" ht="18.75" customHeight="1" x14ac:dyDescent="0.25">
      <c r="A1289" s="132"/>
      <c r="B1289" s="247" t="s">
        <v>353</v>
      </c>
      <c r="C1289" s="247"/>
      <c r="D1289" s="247"/>
      <c r="E1289" s="247"/>
      <c r="F1289" s="247"/>
      <c r="G1289" s="57" t="s">
        <v>302</v>
      </c>
      <c r="H1289" s="495">
        <f>'Input (3) &amp; Process (4)'!H86</f>
        <v>28</v>
      </c>
      <c r="I1289" s="259" t="s">
        <v>324</v>
      </c>
      <c r="J1289" s="42"/>
      <c r="K1289" s="42"/>
      <c r="L1289" s="42"/>
    </row>
    <row r="1290" spans="1:12" ht="18.75" customHeight="1" x14ac:dyDescent="0.25">
      <c r="A1290" s="132"/>
      <c r="B1290" s="42" t="s">
        <v>306</v>
      </c>
      <c r="C1290" s="42"/>
      <c r="D1290" s="42"/>
      <c r="E1290" s="42"/>
      <c r="F1290" s="42"/>
      <c r="G1290" s="245" t="s">
        <v>309</v>
      </c>
      <c r="H1290" s="83">
        <f>'Input (3) &amp; Process (4)'!H87</f>
        <v>4.6897302679499984E-4</v>
      </c>
      <c r="I1290" s="32"/>
      <c r="J1290" s="42"/>
      <c r="K1290" s="42"/>
      <c r="L1290" s="42"/>
    </row>
    <row r="1291" spans="1:12" ht="18.75" customHeight="1" x14ac:dyDescent="0.25">
      <c r="A1291" s="132"/>
      <c r="B1291" s="42" t="s">
        <v>307</v>
      </c>
      <c r="C1291" s="42"/>
      <c r="D1291" s="42"/>
      <c r="E1291" s="42"/>
      <c r="F1291" s="42"/>
      <c r="G1291" s="245" t="s">
        <v>310</v>
      </c>
      <c r="H1291" s="83">
        <f>'Input (3) &amp; Process (4)'!H88</f>
        <v>4.6737243625986327E-4</v>
      </c>
      <c r="I1291" s="32"/>
      <c r="J1291" s="42"/>
      <c r="K1291" s="42"/>
      <c r="L1291" s="42"/>
    </row>
    <row r="1292" spans="1:12" ht="18.75" customHeight="1" x14ac:dyDescent="0.25">
      <c r="A1292" s="132"/>
      <c r="B1292" s="42" t="s">
        <v>278</v>
      </c>
      <c r="C1292" s="42"/>
      <c r="D1292" s="42"/>
      <c r="E1292" s="42"/>
      <c r="F1292" s="42"/>
      <c r="G1292" s="30" t="s">
        <v>247</v>
      </c>
      <c r="H1292" s="207">
        <f>'Input (3) &amp; Process (4)'!H89</f>
        <v>193000</v>
      </c>
      <c r="I1292" s="32" t="s">
        <v>28</v>
      </c>
      <c r="J1292" s="42"/>
      <c r="K1292" s="42"/>
      <c r="L1292" s="42"/>
    </row>
    <row r="1293" spans="1:12" ht="18.75" customHeight="1" x14ac:dyDescent="0.25">
      <c r="A1293" s="132"/>
      <c r="B1293" s="42" t="s">
        <v>265</v>
      </c>
      <c r="C1293" s="42"/>
      <c r="D1293" s="42"/>
      <c r="E1293" s="42"/>
      <c r="F1293" s="42"/>
      <c r="G1293" s="30" t="s">
        <v>285</v>
      </c>
      <c r="H1293" s="20">
        <f>'Input (3) &amp; Process (4)'!H90</f>
        <v>6.7115999999999999E-3</v>
      </c>
      <c r="I1293" s="32" t="s">
        <v>127</v>
      </c>
      <c r="J1293" s="42"/>
      <c r="K1293" s="42"/>
      <c r="L1293" s="42"/>
    </row>
    <row r="1294" spans="1:12" ht="18.75" customHeight="1" x14ac:dyDescent="0.25">
      <c r="A1294" s="132"/>
      <c r="B1294" s="42" t="s">
        <v>313</v>
      </c>
      <c r="C1294" s="42"/>
      <c r="D1294" s="42"/>
      <c r="E1294" s="42"/>
      <c r="F1294" s="42"/>
      <c r="G1294" s="253" t="s">
        <v>311</v>
      </c>
      <c r="H1294" s="459">
        <f>'Input (3) &amp; Process (4)'!H91</f>
        <v>605.40565073792789</v>
      </c>
      <c r="I1294" s="32" t="s">
        <v>40</v>
      </c>
      <c r="J1294" s="42"/>
      <c r="K1294" s="42"/>
      <c r="L1294" s="42"/>
    </row>
    <row r="1295" spans="1:12" ht="18.75" customHeight="1" x14ac:dyDescent="0.25">
      <c r="A1295" s="132"/>
      <c r="B1295" s="42"/>
      <c r="C1295" s="42"/>
      <c r="D1295" s="42"/>
      <c r="E1295" s="42"/>
      <c r="F1295" s="42"/>
      <c r="G1295" s="42"/>
      <c r="H1295" s="30"/>
      <c r="I1295" s="31"/>
      <c r="J1295" s="42"/>
      <c r="K1295" s="42"/>
      <c r="L1295" s="42"/>
    </row>
    <row r="1296" spans="1:12" ht="18.75" customHeight="1" x14ac:dyDescent="0.25">
      <c r="A1296" s="132" t="s">
        <v>1323</v>
      </c>
      <c r="B1296" s="332" t="s">
        <v>642</v>
      </c>
      <c r="C1296" s="247"/>
      <c r="D1296" s="247"/>
      <c r="E1296" s="247"/>
      <c r="F1296" s="247"/>
      <c r="G1296" s="247"/>
      <c r="H1296" s="57"/>
      <c r="I1296" s="115"/>
      <c r="J1296" s="42"/>
      <c r="K1296" s="42"/>
      <c r="L1296" s="42"/>
    </row>
    <row r="1297" spans="1:12" ht="18.75" customHeight="1" x14ac:dyDescent="0.25">
      <c r="A1297" s="132"/>
      <c r="B1297" s="247" t="s">
        <v>265</v>
      </c>
      <c r="C1297" s="247"/>
      <c r="D1297" s="247"/>
      <c r="E1297" s="247"/>
      <c r="F1297" s="247"/>
      <c r="G1297" s="57" t="s">
        <v>285</v>
      </c>
      <c r="H1297" s="69">
        <f>'Input (3) &amp; Process (4)'!H94</f>
        <v>6.7115999999999999E-3</v>
      </c>
      <c r="I1297" s="259" t="s">
        <v>127</v>
      </c>
      <c r="J1297" s="42"/>
      <c r="K1297" s="42"/>
      <c r="L1297" s="42"/>
    </row>
    <row r="1298" spans="1:12" ht="18.75" customHeight="1" x14ac:dyDescent="0.25">
      <c r="A1298" s="132"/>
      <c r="B1298" s="247" t="s">
        <v>295</v>
      </c>
      <c r="C1298" s="247"/>
      <c r="D1298" s="247"/>
      <c r="E1298" s="247"/>
      <c r="F1298" s="247"/>
      <c r="G1298" s="57" t="s">
        <v>298</v>
      </c>
      <c r="H1298" s="81">
        <f>'Input (3) &amp; Process (4)'!H95</f>
        <v>8901.7660267627289</v>
      </c>
      <c r="I1298" s="259" t="s">
        <v>40</v>
      </c>
      <c r="J1298" s="42"/>
      <c r="K1298" s="42"/>
      <c r="L1298" s="42"/>
    </row>
    <row r="1299" spans="1:12" ht="18.75" customHeight="1" x14ac:dyDescent="0.25">
      <c r="A1299" s="132"/>
      <c r="B1299" s="247" t="s">
        <v>316</v>
      </c>
      <c r="C1299" s="247"/>
      <c r="D1299" s="247"/>
      <c r="E1299" s="247"/>
      <c r="F1299" s="247"/>
      <c r="G1299" s="249" t="s">
        <v>561</v>
      </c>
      <c r="H1299" s="81">
        <f>'Input (3) &amp; Process (4)'!H96</f>
        <v>47.385278303379515</v>
      </c>
      <c r="I1299" s="259" t="s">
        <v>28</v>
      </c>
      <c r="J1299" s="42"/>
      <c r="K1299" s="42"/>
      <c r="L1299" s="42"/>
    </row>
    <row r="1300" spans="1:12" ht="18.75" customHeight="1" x14ac:dyDescent="0.25">
      <c r="A1300" s="132"/>
      <c r="B1300" s="247" t="s">
        <v>317</v>
      </c>
      <c r="C1300" s="247"/>
      <c r="D1300" s="247"/>
      <c r="E1300" s="247"/>
      <c r="F1300" s="247"/>
      <c r="G1300" s="249" t="s">
        <v>562</v>
      </c>
      <c r="H1300" s="81">
        <f>'Input (3) &amp; Process (4)'!H97</f>
        <v>90.202880198153622</v>
      </c>
      <c r="I1300" s="259" t="s">
        <v>28</v>
      </c>
      <c r="J1300" s="42"/>
      <c r="K1300" s="42"/>
      <c r="L1300" s="42"/>
    </row>
    <row r="1301" spans="1:12" ht="18.75" customHeight="1" x14ac:dyDescent="0.25">
      <c r="A1301" s="132"/>
      <c r="B1301" s="247" t="s">
        <v>314</v>
      </c>
      <c r="C1301" s="247"/>
      <c r="D1301" s="247"/>
      <c r="E1301" s="247"/>
      <c r="F1301" s="247"/>
      <c r="G1301" s="57" t="s">
        <v>318</v>
      </c>
      <c r="H1301" s="81">
        <f>'Input (3) &amp; Process (4)'!H98</f>
        <v>1326.3254703442888</v>
      </c>
      <c r="I1301" s="259" t="s">
        <v>28</v>
      </c>
      <c r="J1301" s="42"/>
      <c r="K1301" s="42"/>
      <c r="L1301" s="42"/>
    </row>
    <row r="1302" spans="1:12" ht="18.75" customHeight="1" x14ac:dyDescent="0.25">
      <c r="A1302" s="132"/>
      <c r="B1302" s="247"/>
      <c r="C1302" s="247"/>
      <c r="D1302" s="247"/>
      <c r="E1302" s="247"/>
      <c r="F1302" s="247"/>
      <c r="G1302" s="57"/>
      <c r="H1302" s="84">
        <f>'Input (3) &amp; Process (4)'!H99</f>
        <v>0.7130782098625208</v>
      </c>
      <c r="I1302" s="259" t="s">
        <v>321</v>
      </c>
      <c r="J1302" s="42"/>
      <c r="K1302" s="42"/>
      <c r="L1302" s="42"/>
    </row>
    <row r="1303" spans="1:12" ht="18.75" customHeight="1" x14ac:dyDescent="0.25">
      <c r="A1303" s="132"/>
      <c r="B1303" s="247" t="s">
        <v>315</v>
      </c>
      <c r="C1303" s="247"/>
      <c r="D1303" s="247"/>
      <c r="E1303" s="247"/>
      <c r="F1303" s="247"/>
      <c r="J1303" s="42"/>
      <c r="K1303" s="42"/>
      <c r="L1303" s="42"/>
    </row>
    <row r="1304" spans="1:12" ht="18.75" customHeight="1" x14ac:dyDescent="0.25">
      <c r="A1304" s="132"/>
      <c r="B1304" s="247"/>
      <c r="C1304" s="247"/>
      <c r="D1304" s="247"/>
      <c r="E1304" s="247"/>
      <c r="F1304" s="247"/>
      <c r="G1304" s="249" t="s">
        <v>380</v>
      </c>
      <c r="H1304" s="81">
        <f>'Input (3) &amp; Process (4)'!H100</f>
        <v>137.58815850153314</v>
      </c>
      <c r="I1304" s="259" t="s">
        <v>28</v>
      </c>
      <c r="J1304" s="42"/>
      <c r="K1304" s="42"/>
      <c r="L1304" s="42"/>
    </row>
    <row r="1305" spans="1:12" ht="18.75" customHeight="1" x14ac:dyDescent="0.25">
      <c r="A1305" s="132"/>
      <c r="B1305" s="247" t="s">
        <v>378</v>
      </c>
      <c r="C1305" s="247"/>
      <c r="D1305" s="247"/>
      <c r="E1305" s="247"/>
      <c r="F1305" s="247"/>
      <c r="G1305" s="249" t="s">
        <v>354</v>
      </c>
      <c r="H1305" s="84">
        <f>'Input (3) &amp; Process (4)'!H101</f>
        <v>2.5000000000000001E-2</v>
      </c>
      <c r="I1305" s="259"/>
      <c r="J1305" s="42"/>
      <c r="K1305" s="42"/>
      <c r="L1305" s="42"/>
    </row>
    <row r="1306" spans="1:12" ht="18.75" customHeight="1" x14ac:dyDescent="0.25">
      <c r="A1306" s="132"/>
      <c r="B1306" s="247" t="s">
        <v>320</v>
      </c>
      <c r="C1306" s="247"/>
      <c r="D1306" s="247"/>
      <c r="E1306" s="247"/>
      <c r="F1306" s="247"/>
      <c r="G1306" s="247"/>
      <c r="H1306" s="57"/>
      <c r="I1306" s="115"/>
      <c r="J1306" s="42"/>
      <c r="K1306" s="42"/>
      <c r="L1306" s="42"/>
    </row>
    <row r="1307" spans="1:12" ht="18.75" customHeight="1" x14ac:dyDescent="0.25">
      <c r="A1307" s="132"/>
      <c r="B1307" s="525" t="s">
        <v>559</v>
      </c>
      <c r="C1307" s="77">
        <f>'Input (3) &amp; Process (4)'!C103</f>
        <v>0</v>
      </c>
      <c r="D1307" s="115" t="s">
        <v>557</v>
      </c>
      <c r="E1307" s="85">
        <f>'Input (3) &amp; Process (4)'!E103</f>
        <v>0.5</v>
      </c>
      <c r="F1307" s="259" t="s">
        <v>321</v>
      </c>
      <c r="G1307" s="247"/>
      <c r="H1307" s="57"/>
      <c r="I1307" s="115"/>
      <c r="J1307" s="42"/>
      <c r="K1307" s="42"/>
      <c r="L1307" s="42"/>
    </row>
    <row r="1308" spans="1:12" ht="18.75" customHeight="1" x14ac:dyDescent="0.25">
      <c r="A1308" s="132"/>
      <c r="B1308" s="525" t="s">
        <v>559</v>
      </c>
      <c r="C1308" s="77">
        <f>'Input (3) &amp; Process (4)'!C104</f>
        <v>1</v>
      </c>
      <c r="D1308" s="115" t="s">
        <v>558</v>
      </c>
      <c r="E1308" s="85">
        <f>'Input (3) &amp; Process (4)'!E104</f>
        <v>0.5</v>
      </c>
      <c r="F1308" s="259" t="s">
        <v>321</v>
      </c>
      <c r="G1308" s="247"/>
      <c r="H1308" s="57"/>
      <c r="I1308" s="115"/>
      <c r="J1308" s="42"/>
      <c r="K1308" s="42"/>
      <c r="L1308" s="42"/>
    </row>
    <row r="1309" spans="1:12" ht="18.75" customHeight="1" x14ac:dyDescent="0.25">
      <c r="A1309" s="132"/>
      <c r="B1309" s="525" t="s">
        <v>559</v>
      </c>
      <c r="C1309" s="77">
        <f>'Input (3) &amp; Process (4)'!C105</f>
        <v>2</v>
      </c>
      <c r="D1309" s="115" t="s">
        <v>563</v>
      </c>
      <c r="E1309" s="85">
        <f>'Input (3) &amp; Process (4)'!E105</f>
        <v>0.7</v>
      </c>
      <c r="F1309" s="259" t="s">
        <v>321</v>
      </c>
      <c r="G1309" s="247"/>
      <c r="H1309" s="57"/>
      <c r="I1309" s="115"/>
      <c r="J1309" s="42"/>
      <c r="K1309" s="42"/>
      <c r="L1309" s="42"/>
    </row>
    <row r="1310" spans="1:12" ht="18.75" customHeight="1" x14ac:dyDescent="0.25">
      <c r="A1310" s="132"/>
      <c r="B1310" s="247"/>
      <c r="C1310" s="247"/>
      <c r="D1310" s="247"/>
      <c r="E1310" s="247"/>
      <c r="F1310" s="247"/>
      <c r="G1310" s="57" t="s">
        <v>559</v>
      </c>
      <c r="H1310" s="81">
        <f>'Input (3) &amp; Process (4)'!H106</f>
        <v>2</v>
      </c>
      <c r="I1310" s="259"/>
      <c r="J1310" s="42"/>
      <c r="K1310" s="42"/>
      <c r="L1310" s="42"/>
    </row>
    <row r="1311" spans="1:12" ht="18.75" customHeight="1" x14ac:dyDescent="0.25">
      <c r="A1311" s="132"/>
      <c r="B1311" s="247" t="s">
        <v>319</v>
      </c>
      <c r="C1311" s="247"/>
      <c r="D1311" s="247"/>
      <c r="E1311" s="247"/>
      <c r="F1311" s="247"/>
      <c r="J1311" s="42"/>
      <c r="K1311" s="42"/>
      <c r="L1311" s="42"/>
    </row>
    <row r="1312" spans="1:12" ht="18.75" customHeight="1" x14ac:dyDescent="0.25">
      <c r="A1312" s="132"/>
      <c r="B1312" s="247"/>
      <c r="C1312" s="247"/>
      <c r="D1312" s="247"/>
      <c r="E1312" s="247"/>
      <c r="F1312" s="247"/>
      <c r="G1312" s="57" t="s">
        <v>560</v>
      </c>
      <c r="H1312" s="73">
        <f>'Input (3) &amp; Process (4)'!H107</f>
        <v>398.91646710819191</v>
      </c>
      <c r="I1312" s="259" t="s">
        <v>40</v>
      </c>
      <c r="J1312" s="42"/>
      <c r="K1312" s="42"/>
      <c r="L1312" s="42"/>
    </row>
    <row r="1313" spans="1:12" ht="18.75" customHeight="1" x14ac:dyDescent="0.25">
      <c r="A1313" s="132"/>
      <c r="B1313" s="42"/>
      <c r="C1313" s="42"/>
      <c r="D1313" s="42"/>
      <c r="E1313" s="42"/>
      <c r="F1313" s="42"/>
      <c r="G1313" s="30"/>
      <c r="H1313" s="31"/>
      <c r="I1313" s="32"/>
      <c r="J1313" s="42"/>
      <c r="K1313" s="42"/>
      <c r="L1313" s="42"/>
    </row>
    <row r="1314" spans="1:12" ht="18.75" customHeight="1" x14ac:dyDescent="0.25">
      <c r="A1314" s="132" t="s">
        <v>1324</v>
      </c>
      <c r="B1314" s="332" t="s">
        <v>635</v>
      </c>
      <c r="C1314" s="42"/>
      <c r="D1314" s="42"/>
      <c r="E1314" s="42"/>
      <c r="F1314" s="42"/>
      <c r="G1314" s="30"/>
      <c r="H1314" s="31"/>
      <c r="I1314" s="32"/>
      <c r="J1314" s="42"/>
      <c r="K1314" s="42"/>
      <c r="L1314" s="42"/>
    </row>
    <row r="1315" spans="1:12" ht="18.75" customHeight="1" x14ac:dyDescent="0.25">
      <c r="A1315" s="132"/>
      <c r="B1315" s="42" t="s">
        <v>355</v>
      </c>
      <c r="C1315" s="42"/>
      <c r="D1315" s="42"/>
      <c r="E1315" s="42"/>
      <c r="F1315" s="42"/>
      <c r="G1315" s="245" t="s">
        <v>356</v>
      </c>
      <c r="H1315" s="459">
        <f>'Input (3) &amp; Process (4)'!H110</f>
        <v>1322.3531517070817</v>
      </c>
      <c r="I1315" s="32" t="s">
        <v>40</v>
      </c>
      <c r="J1315" s="42"/>
      <c r="K1315" s="42"/>
      <c r="L1315" s="42"/>
    </row>
    <row r="1316" spans="1:12" ht="18.75" customHeight="1" x14ac:dyDescent="0.25">
      <c r="A1316" s="132"/>
      <c r="B1316" s="42" t="s">
        <v>357</v>
      </c>
      <c r="C1316" s="42"/>
      <c r="D1316" s="42"/>
      <c r="E1316" s="42"/>
      <c r="F1316" s="42"/>
      <c r="G1316" s="30" t="s">
        <v>364</v>
      </c>
      <c r="H1316" s="459">
        <f>'Input (3) &amp; Process (4)'!H111</f>
        <v>7579.4128750556474</v>
      </c>
      <c r="I1316" s="32" t="s">
        <v>40</v>
      </c>
      <c r="J1316" s="42"/>
      <c r="K1316" s="42"/>
      <c r="L1316" s="42"/>
    </row>
    <row r="1317" spans="1:12" ht="18.75" customHeight="1" x14ac:dyDescent="0.25">
      <c r="A1317" s="132"/>
      <c r="B1317" s="42" t="s">
        <v>358</v>
      </c>
      <c r="C1317" s="42"/>
      <c r="D1317" s="42"/>
      <c r="E1317" s="42"/>
      <c r="F1317" s="42"/>
      <c r="G1317" s="30" t="s">
        <v>369</v>
      </c>
      <c r="H1317" s="86">
        <f>'Input (3) &amp; Process (4)'!H112</f>
        <v>0.23483090155044162</v>
      </c>
      <c r="I1317" s="502"/>
      <c r="J1317" s="42"/>
      <c r="K1317" s="42"/>
      <c r="L1317" s="42"/>
    </row>
    <row r="1318" spans="1:12" ht="18.75" customHeight="1" x14ac:dyDescent="0.25">
      <c r="A1318" s="132"/>
      <c r="B1318" s="42" t="s">
        <v>913</v>
      </c>
      <c r="C1318" s="42"/>
      <c r="D1318" s="42"/>
      <c r="E1318" s="42"/>
      <c r="F1318" s="42"/>
      <c r="G1318" s="42"/>
      <c r="H1318" s="30"/>
      <c r="I1318" s="236"/>
      <c r="J1318" s="42"/>
      <c r="K1318" s="42"/>
      <c r="L1318" s="42"/>
    </row>
    <row r="1319" spans="1:12" ht="18.75" customHeight="1" x14ac:dyDescent="0.25">
      <c r="A1319" s="132"/>
      <c r="B1319" s="42" t="s">
        <v>361</v>
      </c>
      <c r="C1319" s="42"/>
      <c r="D1319" s="31" t="s">
        <v>915</v>
      </c>
      <c r="E1319" s="31"/>
      <c r="F1319" s="262">
        <v>0.3</v>
      </c>
      <c r="G1319" s="42"/>
      <c r="H1319" s="30"/>
      <c r="I1319" s="31"/>
      <c r="J1319" s="42"/>
      <c r="K1319" s="42"/>
      <c r="L1319" s="42"/>
    </row>
    <row r="1320" spans="1:12" ht="18.75" customHeight="1" x14ac:dyDescent="0.25">
      <c r="A1320" s="132"/>
      <c r="B1320" s="42"/>
      <c r="C1320" s="42"/>
      <c r="D1320" s="86">
        <f>'Input (3) &amp; Process (4)'!D115</f>
        <v>0.23483090155044162</v>
      </c>
      <c r="E1320" s="31" t="str">
        <f>IF(D1320&lt;F1320,"&lt;","&gt;")</f>
        <v>&lt;</v>
      </c>
      <c r="F1320" s="86">
        <f>'Input (3) &amp; Process (4)'!F115</f>
        <v>0.3</v>
      </c>
      <c r="G1320" s="245" t="s">
        <v>363</v>
      </c>
      <c r="H1320" s="132" t="str">
        <f>IF(D1320&lt;F1320,"[ OK ]","[ NOT OK ]")</f>
        <v>[ OK ]</v>
      </c>
      <c r="I1320" s="42"/>
      <c r="J1320" s="42"/>
      <c r="K1320" s="42"/>
      <c r="L1320" s="42"/>
    </row>
    <row r="1321" spans="1:12" ht="18.75" customHeight="1" x14ac:dyDescent="0.25">
      <c r="A1321" s="132"/>
      <c r="B1321" s="42"/>
      <c r="C1321" s="42"/>
      <c r="D1321" s="236"/>
      <c r="E1321" s="31"/>
      <c r="F1321" s="236"/>
      <c r="G1321" s="42"/>
      <c r="H1321" s="245"/>
      <c r="I1321" s="132"/>
      <c r="J1321" s="42"/>
      <c r="K1321" s="42"/>
      <c r="L1321" s="42"/>
    </row>
    <row r="1322" spans="1:12" ht="18.75" customHeight="1" x14ac:dyDescent="0.25">
      <c r="A1322" s="132"/>
      <c r="B1322" s="42" t="s">
        <v>359</v>
      </c>
      <c r="C1322" s="42"/>
      <c r="D1322" s="42"/>
      <c r="E1322" s="42"/>
      <c r="F1322" s="42"/>
      <c r="G1322" s="30" t="s">
        <v>365</v>
      </c>
      <c r="H1322" s="459">
        <f>'Input (3) &amp; Process (4)'!H117</f>
        <v>1302</v>
      </c>
      <c r="I1322" s="32" t="s">
        <v>61</v>
      </c>
      <c r="J1322" s="42"/>
      <c r="K1322" s="42"/>
      <c r="L1322" s="42"/>
    </row>
    <row r="1323" spans="1:12" ht="18.75" customHeight="1" x14ac:dyDescent="0.25">
      <c r="A1323" s="132"/>
      <c r="B1323" s="42" t="s">
        <v>360</v>
      </c>
      <c r="C1323" s="42"/>
      <c r="D1323" s="42"/>
      <c r="E1323" s="42"/>
      <c r="F1323" s="42"/>
      <c r="G1323" s="30" t="s">
        <v>366</v>
      </c>
      <c r="H1323" s="459">
        <f>'Input (3) &amp; Process (4)'!H118</f>
        <v>1129.3004462506181</v>
      </c>
      <c r="I1323" s="32" t="s">
        <v>28</v>
      </c>
      <c r="J1323" s="42"/>
      <c r="K1323" s="42"/>
      <c r="L1323" s="42"/>
    </row>
    <row r="1324" spans="1:12" ht="18.75" customHeight="1" x14ac:dyDescent="0.25">
      <c r="A1324" s="132"/>
      <c r="B1324" s="42" t="s">
        <v>914</v>
      </c>
      <c r="C1324" s="42"/>
      <c r="D1324" s="42"/>
      <c r="E1324" s="42"/>
      <c r="F1324" s="42"/>
      <c r="G1324" s="42"/>
      <c r="H1324" s="30"/>
      <c r="I1324" s="237"/>
      <c r="J1324" s="42"/>
      <c r="K1324" s="42"/>
      <c r="L1324" s="42"/>
    </row>
    <row r="1325" spans="1:12" ht="18.75" customHeight="1" x14ac:dyDescent="0.25">
      <c r="A1325" s="132"/>
      <c r="B1325" s="42" t="s">
        <v>361</v>
      </c>
      <c r="C1325" s="42"/>
      <c r="D1325" s="31" t="s">
        <v>367</v>
      </c>
      <c r="E1325" s="31" t="s">
        <v>362</v>
      </c>
      <c r="F1325" s="31" t="s">
        <v>368</v>
      </c>
      <c r="G1325" s="42"/>
      <c r="H1325" s="30"/>
      <c r="I1325" s="31"/>
      <c r="J1325" s="42"/>
      <c r="K1325" s="42"/>
      <c r="L1325" s="42"/>
    </row>
    <row r="1326" spans="1:12" ht="18.75" customHeight="1" x14ac:dyDescent="0.25">
      <c r="A1326" s="132"/>
      <c r="B1326" s="42"/>
      <c r="C1326" s="42"/>
      <c r="D1326" s="459">
        <f>'Input (3) &amp; Process (4)'!D121</f>
        <v>1129.3004462506181</v>
      </c>
      <c r="E1326" s="31" t="str">
        <f>IF(D1326&lt;F1326,"&lt;","&gt;")</f>
        <v>&lt;</v>
      </c>
      <c r="F1326" s="459">
        <f>'Input (3) &amp; Process (4)'!F121</f>
        <v>1302</v>
      </c>
      <c r="G1326" s="245" t="s">
        <v>363</v>
      </c>
      <c r="H1326" s="132" t="str">
        <f>IF(D1326&lt;F1326,"[ OK ]","[ NOT OK ]")</f>
        <v>[ OK ]</v>
      </c>
      <c r="I1326" s="42"/>
      <c r="J1326" s="42"/>
      <c r="K1326" s="42"/>
      <c r="L1326" s="42"/>
    </row>
    <row r="1327" spans="1:12" ht="18.75" customHeight="1" x14ac:dyDescent="0.25">
      <c r="A1327" s="132"/>
      <c r="B1327" s="42"/>
      <c r="C1327" s="42"/>
      <c r="D1327" s="42"/>
      <c r="E1327" s="42"/>
      <c r="F1327" s="42"/>
      <c r="G1327" s="42"/>
      <c r="H1327" s="30"/>
      <c r="I1327" s="31"/>
      <c r="J1327" s="42"/>
      <c r="K1327" s="42"/>
      <c r="L1327" s="42"/>
    </row>
    <row r="1328" spans="1:12" ht="18.75" customHeight="1" x14ac:dyDescent="0.25">
      <c r="A1328" s="132"/>
      <c r="B1328" s="42"/>
      <c r="C1328" s="42"/>
      <c r="D1328" s="42"/>
      <c r="E1328" s="42"/>
      <c r="F1328" s="42"/>
      <c r="G1328" s="42"/>
      <c r="H1328" s="30"/>
      <c r="I1328" s="31"/>
      <c r="J1328" s="42"/>
      <c r="K1328" s="42"/>
      <c r="L1328" s="42"/>
    </row>
    <row r="1329" spans="1:12" ht="18.75" customHeight="1" x14ac:dyDescent="0.25">
      <c r="A1329" s="132"/>
      <c r="B1329" s="42" t="s">
        <v>370</v>
      </c>
      <c r="C1329" s="42"/>
      <c r="D1329" s="42"/>
      <c r="E1329" s="42"/>
      <c r="F1329" s="42"/>
      <c r="G1329" s="30" t="s">
        <v>296</v>
      </c>
      <c r="H1329" s="459">
        <f>'Input (3) &amp; Process (4)'!H123</f>
        <v>9905.5396910481722</v>
      </c>
      <c r="I1329" s="503" t="s">
        <v>40</v>
      </c>
      <c r="J1329" s="42"/>
      <c r="K1329" s="42"/>
      <c r="L1329" s="42"/>
    </row>
    <row r="1330" spans="1:12" ht="18.75" customHeight="1" x14ac:dyDescent="0.25">
      <c r="A1330" s="132"/>
      <c r="B1330" s="42" t="s">
        <v>371</v>
      </c>
      <c r="C1330" s="42"/>
      <c r="D1330" s="42"/>
      <c r="E1330" s="42"/>
      <c r="F1330" s="42"/>
      <c r="G1330" s="30" t="s">
        <v>286</v>
      </c>
      <c r="H1330" s="459">
        <f>'Input (3) &amp; Process (4)'!H124</f>
        <v>9608.3735003167276</v>
      </c>
      <c r="I1330" s="503" t="s">
        <v>40</v>
      </c>
      <c r="J1330" s="42"/>
      <c r="K1330" s="42"/>
      <c r="L1330" s="42"/>
    </row>
    <row r="1331" spans="1:12" ht="18.75" customHeight="1" x14ac:dyDescent="0.25">
      <c r="A1331" s="132"/>
      <c r="B1331" s="42" t="s">
        <v>372</v>
      </c>
      <c r="C1331" s="42"/>
      <c r="D1331" s="42"/>
      <c r="E1331" s="42"/>
      <c r="F1331" s="42"/>
      <c r="G1331" s="30" t="s">
        <v>287</v>
      </c>
      <c r="H1331" s="459">
        <f>'Input (3) &amp; Process (4)'!H125</f>
        <v>9416.8127703820446</v>
      </c>
      <c r="I1331" s="503" t="s">
        <v>40</v>
      </c>
      <c r="J1331" s="42"/>
      <c r="K1331" s="42"/>
      <c r="L1331" s="42"/>
    </row>
    <row r="1332" spans="1:12" ht="18.75" customHeight="1" x14ac:dyDescent="0.25">
      <c r="A1332" s="132"/>
      <c r="B1332" s="42" t="s">
        <v>977</v>
      </c>
      <c r="C1332" s="42"/>
      <c r="D1332" s="42"/>
      <c r="E1332" s="42"/>
      <c r="F1332" s="42"/>
      <c r="G1332" s="30" t="s">
        <v>298</v>
      </c>
      <c r="H1332" s="459">
        <f>'Input (3) &amp; Process (4)'!H126</f>
        <v>8901.7660267627289</v>
      </c>
      <c r="I1332" s="503" t="s">
        <v>40</v>
      </c>
      <c r="J1332" s="42"/>
      <c r="K1332" s="42"/>
      <c r="L1332" s="42"/>
    </row>
    <row r="1333" spans="1:12" ht="18.75" customHeight="1" x14ac:dyDescent="0.25">
      <c r="A1333" s="132"/>
      <c r="B1333" s="42" t="s">
        <v>373</v>
      </c>
      <c r="C1333" s="42"/>
      <c r="D1333" s="42"/>
      <c r="E1333" s="42"/>
      <c r="F1333" s="42"/>
      <c r="G1333" s="30" t="s">
        <v>374</v>
      </c>
      <c r="H1333" s="459">
        <f>'Input (3) &amp; Process (4)'!H127</f>
        <v>7579.4128750556474</v>
      </c>
      <c r="I1333" s="503" t="s">
        <v>40</v>
      </c>
      <c r="J1333" s="42"/>
      <c r="K1333" s="42"/>
      <c r="L1333" s="42"/>
    </row>
    <row r="1334" spans="1:12" ht="18.75" customHeight="1" x14ac:dyDescent="0.25">
      <c r="A1334" s="132"/>
      <c r="B1334" s="42"/>
      <c r="C1334" s="42"/>
      <c r="D1334" s="42"/>
      <c r="E1334" s="42"/>
      <c r="F1334" s="42"/>
      <c r="G1334" s="42"/>
      <c r="H1334" s="30"/>
      <c r="I1334" s="31"/>
      <c r="J1334" s="42"/>
      <c r="K1334" s="42"/>
      <c r="L1334" s="42"/>
    </row>
    <row r="1335" spans="1:12" ht="18.75" customHeight="1" x14ac:dyDescent="0.25">
      <c r="A1335" s="132"/>
      <c r="B1335" s="42" t="s">
        <v>1267</v>
      </c>
      <c r="C1335" s="42"/>
      <c r="D1335" s="42"/>
      <c r="E1335" s="42"/>
      <c r="F1335" s="42"/>
      <c r="G1335" s="42"/>
      <c r="H1335" s="30"/>
      <c r="I1335" s="31"/>
      <c r="J1335" s="42"/>
      <c r="K1335" s="42"/>
      <c r="L1335" s="42"/>
    </row>
    <row r="1336" spans="1:12" ht="18.75" customHeight="1" x14ac:dyDescent="0.25">
      <c r="A1336" s="132"/>
      <c r="B1336" s="42"/>
      <c r="C1336" s="42"/>
      <c r="D1336" s="42"/>
      <c r="E1336" s="42"/>
      <c r="F1336" s="42"/>
      <c r="G1336" s="42"/>
      <c r="H1336" s="30"/>
      <c r="I1336" s="31"/>
      <c r="J1336" s="42"/>
      <c r="K1336" s="42"/>
      <c r="L1336" s="42"/>
    </row>
    <row r="1337" spans="1:12" ht="18.75" customHeight="1" x14ac:dyDescent="0.25">
      <c r="A1337" s="132"/>
      <c r="B1337" s="42"/>
      <c r="C1337" s="42"/>
      <c r="D1337" s="42"/>
      <c r="E1337" s="42"/>
      <c r="F1337" s="42"/>
      <c r="G1337" s="42"/>
      <c r="H1337" s="30"/>
      <c r="I1337" s="31"/>
      <c r="J1337" s="42"/>
      <c r="K1337" s="42"/>
      <c r="L1337" s="42"/>
    </row>
    <row r="1338" spans="1:12" ht="18.75" customHeight="1" x14ac:dyDescent="0.25">
      <c r="A1338" s="132"/>
      <c r="B1338" s="42"/>
      <c r="C1338" s="42"/>
      <c r="D1338" s="42"/>
      <c r="E1338" s="42"/>
      <c r="F1338" s="42"/>
      <c r="G1338" s="42"/>
      <c r="H1338" s="30"/>
      <c r="I1338" s="31"/>
      <c r="J1338" s="42"/>
      <c r="K1338" s="42"/>
      <c r="L1338" s="42"/>
    </row>
    <row r="1339" spans="1:12" ht="18.75" customHeight="1" x14ac:dyDescent="0.25">
      <c r="A1339" s="132"/>
      <c r="B1339" s="42"/>
      <c r="C1339" s="42"/>
      <c r="D1339" s="42"/>
      <c r="E1339" s="42"/>
      <c r="F1339" s="42"/>
      <c r="G1339" s="42"/>
      <c r="H1339" s="30"/>
      <c r="I1339" s="31"/>
      <c r="J1339" s="42"/>
      <c r="K1339" s="42"/>
      <c r="L1339" s="42"/>
    </row>
    <row r="1340" spans="1:12" ht="18.75" customHeight="1" x14ac:dyDescent="0.25">
      <c r="A1340" s="132"/>
      <c r="B1340" s="42"/>
      <c r="C1340" s="42"/>
      <c r="D1340" s="42"/>
      <c r="E1340" s="42"/>
      <c r="F1340" s="42"/>
      <c r="G1340" s="42"/>
      <c r="H1340" s="30"/>
      <c r="I1340" s="31"/>
      <c r="J1340" s="42"/>
      <c r="K1340" s="42"/>
      <c r="L1340" s="42"/>
    </row>
    <row r="1341" spans="1:12" ht="18.75" customHeight="1" x14ac:dyDescent="0.25">
      <c r="A1341" s="132"/>
      <c r="B1341" s="42"/>
      <c r="C1341" s="42"/>
      <c r="D1341" s="42"/>
      <c r="E1341" s="42"/>
      <c r="F1341" s="42"/>
      <c r="G1341" s="42"/>
      <c r="H1341" s="30"/>
      <c r="I1341" s="31"/>
      <c r="J1341" s="42"/>
      <c r="K1341" s="42"/>
      <c r="L1341" s="42"/>
    </row>
    <row r="1342" spans="1:12" ht="18.75" customHeight="1" x14ac:dyDescent="0.25">
      <c r="A1342" s="132"/>
      <c r="B1342" s="42"/>
      <c r="C1342" s="42"/>
      <c r="D1342" s="42"/>
      <c r="E1342" s="42"/>
      <c r="F1342" s="42"/>
      <c r="G1342" s="42"/>
      <c r="H1342" s="30"/>
      <c r="I1342" s="31"/>
      <c r="J1342" s="42"/>
      <c r="K1342" s="42"/>
      <c r="L1342" s="42"/>
    </row>
    <row r="1343" spans="1:12" ht="18.75" customHeight="1" x14ac:dyDescent="0.25">
      <c r="A1343" s="132"/>
      <c r="B1343" s="42"/>
      <c r="C1343" s="42"/>
      <c r="D1343" s="42"/>
      <c r="E1343" s="42"/>
      <c r="F1343" s="42"/>
      <c r="G1343" s="42"/>
      <c r="H1343" s="30"/>
      <c r="I1343" s="31"/>
      <c r="J1343" s="42"/>
      <c r="K1343" s="42"/>
      <c r="L1343" s="42"/>
    </row>
    <row r="1344" spans="1:12" ht="18.75" customHeight="1" x14ac:dyDescent="0.25">
      <c r="A1344" s="132"/>
      <c r="B1344" s="42"/>
      <c r="C1344" s="42"/>
      <c r="D1344" s="42"/>
      <c r="E1344" s="42"/>
      <c r="F1344" s="42"/>
      <c r="G1344" s="42"/>
      <c r="H1344" s="30"/>
      <c r="I1344" s="31"/>
      <c r="J1344" s="42"/>
      <c r="K1344" s="42"/>
      <c r="L1344" s="42"/>
    </row>
    <row r="1345" spans="1:12" ht="18.75" customHeight="1" x14ac:dyDescent="0.25">
      <c r="A1345" s="132"/>
      <c r="B1345" s="42"/>
      <c r="C1345" s="42"/>
      <c r="D1345" s="42"/>
      <c r="E1345" s="42"/>
      <c r="F1345" s="42"/>
      <c r="G1345" s="42"/>
      <c r="H1345" s="30"/>
      <c r="I1345" s="31"/>
      <c r="J1345" s="42"/>
      <c r="K1345" s="42"/>
      <c r="L1345" s="42"/>
    </row>
    <row r="1346" spans="1:12" ht="18.75" customHeight="1" x14ac:dyDescent="0.25">
      <c r="A1346" s="132"/>
      <c r="B1346" s="42"/>
      <c r="C1346" s="42"/>
      <c r="D1346" s="42"/>
      <c r="E1346" s="42"/>
      <c r="F1346" s="42"/>
      <c r="G1346" s="42"/>
      <c r="H1346" s="30"/>
      <c r="I1346" s="31"/>
      <c r="J1346" s="42"/>
      <c r="K1346" s="42"/>
      <c r="L1346" s="42"/>
    </row>
    <row r="1347" spans="1:12" ht="18.75" customHeight="1" x14ac:dyDescent="0.25">
      <c r="A1347" s="132"/>
      <c r="B1347" s="42"/>
      <c r="C1347" s="42"/>
      <c r="D1347" s="42"/>
      <c r="E1347" s="42"/>
      <c r="F1347" s="42"/>
      <c r="G1347" s="42"/>
      <c r="H1347" s="30"/>
      <c r="I1347" s="31"/>
      <c r="J1347" s="42"/>
      <c r="K1347" s="42"/>
      <c r="L1347" s="42"/>
    </row>
    <row r="1348" spans="1:12" ht="18.75" customHeight="1" x14ac:dyDescent="0.25">
      <c r="A1348" s="132"/>
      <c r="B1348" s="42"/>
      <c r="C1348" s="42"/>
      <c r="D1348" s="42"/>
      <c r="E1348" s="42"/>
      <c r="F1348" s="42"/>
      <c r="G1348" s="42"/>
      <c r="H1348" s="30"/>
      <c r="I1348" s="31"/>
      <c r="J1348" s="42"/>
      <c r="K1348" s="42"/>
      <c r="L1348" s="42"/>
    </row>
    <row r="1349" spans="1:12" ht="18.75" customHeight="1" x14ac:dyDescent="0.25">
      <c r="A1349" s="132"/>
      <c r="B1349" s="42"/>
      <c r="C1349" s="42"/>
      <c r="D1349" s="42"/>
      <c r="E1349" s="42"/>
      <c r="F1349" s="42"/>
      <c r="G1349" s="42"/>
      <c r="H1349" s="30"/>
      <c r="I1349" s="31"/>
      <c r="J1349" s="42"/>
      <c r="K1349" s="42"/>
      <c r="L1349" s="42"/>
    </row>
    <row r="1350" spans="1:12" ht="18.75" customHeight="1" x14ac:dyDescent="0.25">
      <c r="A1350" s="132"/>
      <c r="B1350" s="42"/>
      <c r="C1350" s="42"/>
      <c r="D1350" s="42"/>
      <c r="E1350" s="42"/>
      <c r="F1350" s="42"/>
      <c r="G1350" s="42"/>
      <c r="H1350" s="30"/>
      <c r="I1350" s="31"/>
      <c r="J1350" s="42"/>
      <c r="K1350" s="42"/>
      <c r="L1350" s="42"/>
    </row>
    <row r="1351" spans="1:12" ht="18.75" customHeight="1" x14ac:dyDescent="0.25">
      <c r="A1351" s="132"/>
      <c r="B1351" s="42"/>
      <c r="C1351" s="42"/>
      <c r="D1351" s="42"/>
      <c r="E1351" s="42"/>
      <c r="F1351" s="42"/>
      <c r="G1351" s="42"/>
      <c r="H1351" s="30"/>
      <c r="I1351" s="31"/>
      <c r="J1351" s="42"/>
      <c r="K1351" s="42"/>
      <c r="L1351" s="42"/>
    </row>
    <row r="1352" spans="1:12" ht="18.75" customHeight="1" x14ac:dyDescent="0.25">
      <c r="A1352" s="132"/>
      <c r="B1352" s="42"/>
      <c r="C1352" s="42"/>
      <c r="D1352" s="42"/>
      <c r="E1352" s="42"/>
      <c r="F1352" s="42"/>
      <c r="G1352" s="42"/>
      <c r="H1352" s="30"/>
      <c r="I1352" s="31"/>
      <c r="J1352" s="42"/>
      <c r="K1352" s="42"/>
      <c r="L1352" s="42"/>
    </row>
    <row r="1353" spans="1:12" ht="18.75" customHeight="1" x14ac:dyDescent="0.25">
      <c r="A1353" s="132"/>
      <c r="B1353" s="42"/>
      <c r="C1353" s="42"/>
      <c r="D1353" s="42"/>
      <c r="E1353" s="42"/>
      <c r="F1353" s="42"/>
      <c r="G1353" s="42"/>
      <c r="H1353" s="30"/>
      <c r="I1353" s="31"/>
      <c r="J1353" s="42"/>
      <c r="K1353" s="42"/>
      <c r="L1353" s="42"/>
    </row>
    <row r="1354" spans="1:12" ht="18.75" customHeight="1" x14ac:dyDescent="0.25">
      <c r="A1354" s="531" t="s">
        <v>1295</v>
      </c>
      <c r="B1354" s="482" t="s">
        <v>1268</v>
      </c>
      <c r="C1354" s="483"/>
      <c r="D1354" s="483"/>
      <c r="E1354" s="483"/>
      <c r="F1354" s="483"/>
      <c r="G1354" s="484"/>
      <c r="H1354" s="485"/>
      <c r="I1354" s="486"/>
    </row>
    <row r="1355" spans="1:12" ht="18.75" customHeight="1" x14ac:dyDescent="0.25">
      <c r="A1355" s="132" t="s">
        <v>661</v>
      </c>
      <c r="B1355" s="332" t="s">
        <v>662</v>
      </c>
      <c r="C1355" s="199"/>
      <c r="D1355" s="199"/>
      <c r="E1355" s="199"/>
      <c r="F1355" s="199"/>
      <c r="G1355" s="199"/>
      <c r="H1355" s="198"/>
      <c r="I1355" s="504"/>
      <c r="J1355" s="42"/>
      <c r="K1355" s="42"/>
      <c r="L1355" s="42"/>
    </row>
    <row r="1356" spans="1:12" ht="18.75" customHeight="1" x14ac:dyDescent="0.25">
      <c r="A1356" s="132"/>
      <c r="B1356" s="42" t="s">
        <v>577</v>
      </c>
      <c r="C1356" s="42"/>
      <c r="D1356" s="42"/>
      <c r="E1356" s="42"/>
      <c r="F1356" s="42"/>
      <c r="G1356" s="279" t="s">
        <v>875</v>
      </c>
      <c r="H1356" s="14">
        <f>'Process (5)'!H3</f>
        <v>40</v>
      </c>
      <c r="I1356" s="32" t="s">
        <v>61</v>
      </c>
      <c r="J1356" s="42"/>
      <c r="K1356" s="42"/>
      <c r="L1356" s="42"/>
    </row>
    <row r="1357" spans="1:12" ht="18.75" customHeight="1" x14ac:dyDescent="0.25">
      <c r="A1357" s="132"/>
      <c r="B1357" s="281" t="s">
        <v>920</v>
      </c>
      <c r="C1357" s="281"/>
      <c r="D1357" s="281"/>
      <c r="E1357" s="281"/>
      <c r="F1357" s="281"/>
      <c r="G1357" s="281"/>
      <c r="H1357" s="282"/>
      <c r="I1357" s="505"/>
      <c r="J1357" s="42"/>
      <c r="K1357" s="42"/>
      <c r="L1357" s="42"/>
    </row>
    <row r="1358" spans="1:12" ht="18.75" customHeight="1" x14ac:dyDescent="0.25">
      <c r="A1358" s="132"/>
      <c r="B1358" s="526" t="s">
        <v>62</v>
      </c>
      <c r="C1358" s="281"/>
      <c r="D1358" s="281"/>
      <c r="E1358" s="281"/>
      <c r="F1358" s="281"/>
      <c r="G1358" s="249" t="s">
        <v>64</v>
      </c>
      <c r="H1358" s="15">
        <f>'Process (5)'!H5</f>
        <v>24</v>
      </c>
      <c r="I1358" s="505" t="s">
        <v>61</v>
      </c>
      <c r="J1358" s="42"/>
      <c r="K1358" s="42"/>
      <c r="L1358" s="42"/>
    </row>
    <row r="1359" spans="1:12" ht="18.75" customHeight="1" x14ac:dyDescent="0.25">
      <c r="A1359" s="132"/>
      <c r="B1359" s="526" t="s">
        <v>63</v>
      </c>
      <c r="C1359" s="281"/>
      <c r="D1359" s="281"/>
      <c r="E1359" s="281"/>
      <c r="F1359" s="281"/>
      <c r="G1359" s="249" t="s">
        <v>381</v>
      </c>
      <c r="H1359" s="15">
        <f>'Process (5)'!H6</f>
        <v>1.5811388300841898</v>
      </c>
      <c r="I1359" s="505" t="s">
        <v>61</v>
      </c>
      <c r="J1359" s="42"/>
      <c r="K1359" s="42"/>
      <c r="L1359" s="42"/>
    </row>
    <row r="1360" spans="1:12" ht="18.75" customHeight="1" x14ac:dyDescent="0.25">
      <c r="A1360" s="132"/>
      <c r="B1360" s="281" t="s">
        <v>65</v>
      </c>
      <c r="C1360" s="281"/>
      <c r="D1360" s="281"/>
      <c r="E1360" s="281"/>
      <c r="F1360" s="281"/>
      <c r="G1360" s="282"/>
      <c r="H1360" s="285"/>
      <c r="I1360" s="505"/>
      <c r="J1360" s="42"/>
      <c r="K1360" s="42"/>
      <c r="L1360" s="42"/>
    </row>
    <row r="1361" spans="1:12" ht="18.75" customHeight="1" x14ac:dyDescent="0.25">
      <c r="A1361" s="132"/>
      <c r="B1361" s="526" t="s">
        <v>62</v>
      </c>
      <c r="C1361" s="281"/>
      <c r="D1361" s="281"/>
      <c r="E1361" s="281"/>
      <c r="F1361" s="281"/>
      <c r="G1361" s="249" t="s">
        <v>66</v>
      </c>
      <c r="H1361" s="14">
        <f>'Process (5)'!H8</f>
        <v>22.5</v>
      </c>
      <c r="I1361" s="505" t="s">
        <v>61</v>
      </c>
      <c r="J1361" s="42"/>
      <c r="K1361" s="42"/>
      <c r="L1361" s="42"/>
    </row>
    <row r="1362" spans="1:12" ht="18.75" customHeight="1" x14ac:dyDescent="0.25">
      <c r="A1362" s="132"/>
      <c r="B1362" s="526" t="s">
        <v>63</v>
      </c>
      <c r="C1362" s="281"/>
      <c r="D1362" s="281"/>
      <c r="E1362" s="281"/>
      <c r="F1362" s="281"/>
      <c r="G1362" s="428" t="s">
        <v>1127</v>
      </c>
      <c r="H1362" s="15">
        <f>'Process (5)'!H9</f>
        <v>3.5355339059327378</v>
      </c>
      <c r="I1362" s="505" t="s">
        <v>61</v>
      </c>
      <c r="J1362" s="42"/>
      <c r="K1362" s="42"/>
      <c r="L1362" s="42"/>
    </row>
    <row r="1363" spans="1:12" ht="18.75" customHeight="1" x14ac:dyDescent="0.25">
      <c r="A1363" s="132"/>
      <c r="B1363" s="527"/>
      <c r="C1363" s="281"/>
      <c r="D1363" s="281"/>
      <c r="E1363" s="281"/>
      <c r="F1363" s="281"/>
      <c r="G1363" s="281"/>
      <c r="H1363" s="249"/>
      <c r="I1363" s="506"/>
      <c r="J1363" s="42"/>
      <c r="K1363" s="42"/>
      <c r="L1363" s="42"/>
    </row>
    <row r="1364" spans="1:12" ht="18.75" customHeight="1" x14ac:dyDescent="0.25">
      <c r="A1364" s="132"/>
      <c r="B1364" s="527"/>
      <c r="C1364" s="281"/>
      <c r="D1364" s="281"/>
      <c r="E1364" s="281"/>
      <c r="F1364" s="281"/>
      <c r="G1364" s="281"/>
      <c r="H1364" s="249"/>
      <c r="I1364" s="506"/>
      <c r="J1364" s="42"/>
      <c r="K1364" s="42"/>
      <c r="L1364" s="42"/>
    </row>
    <row r="1365" spans="1:12" ht="18.75" customHeight="1" x14ac:dyDescent="0.25">
      <c r="A1365" s="132"/>
      <c r="B1365" s="527"/>
      <c r="C1365" s="281"/>
      <c r="D1365" s="281"/>
      <c r="E1365" s="281"/>
      <c r="F1365" s="281"/>
      <c r="G1365" s="281"/>
      <c r="H1365" s="249"/>
      <c r="I1365" s="506"/>
      <c r="J1365" s="42"/>
      <c r="K1365" s="42"/>
      <c r="L1365" s="42"/>
    </row>
    <row r="1366" spans="1:12" ht="18.75" customHeight="1" x14ac:dyDescent="0.25">
      <c r="A1366" s="132" t="s">
        <v>663</v>
      </c>
      <c r="B1366" s="332" t="s">
        <v>664</v>
      </c>
      <c r="C1366" s="199"/>
      <c r="D1366" s="199"/>
      <c r="E1366" s="199"/>
      <c r="F1366" s="199"/>
      <c r="G1366" s="199"/>
      <c r="H1366" s="198"/>
      <c r="I1366" s="504"/>
      <c r="J1366" s="42"/>
      <c r="K1366" s="42"/>
      <c r="L1366" s="42"/>
    </row>
    <row r="1367" spans="1:12" ht="18.75" customHeight="1" x14ac:dyDescent="0.25">
      <c r="A1367" s="132"/>
      <c r="B1367" s="332"/>
      <c r="C1367" s="199"/>
      <c r="D1367" s="199"/>
      <c r="E1367" s="199"/>
      <c r="F1367" s="199"/>
      <c r="G1367" s="199"/>
      <c r="H1367" s="198"/>
      <c r="I1367" s="504"/>
      <c r="J1367" s="42"/>
      <c r="K1367" s="42"/>
      <c r="L1367" s="42"/>
    </row>
    <row r="1368" spans="1:12" ht="18.75" customHeight="1" x14ac:dyDescent="0.25">
      <c r="A1368" s="132"/>
      <c r="B1368" s="332"/>
      <c r="C1368" s="199"/>
      <c r="D1368" s="199"/>
      <c r="E1368" s="199"/>
      <c r="F1368" s="199"/>
      <c r="G1368" s="199"/>
      <c r="H1368" s="198"/>
      <c r="I1368" s="504"/>
      <c r="J1368" s="42"/>
      <c r="K1368" s="42"/>
      <c r="L1368" s="42"/>
    </row>
    <row r="1369" spans="1:12" ht="18.75" customHeight="1" x14ac:dyDescent="0.25">
      <c r="A1369" s="132"/>
      <c r="B1369" s="332"/>
      <c r="C1369" s="199"/>
      <c r="D1369" s="199"/>
      <c r="E1369" s="199"/>
      <c r="F1369" s="199"/>
      <c r="G1369" s="199"/>
      <c r="H1369" s="198"/>
      <c r="I1369" s="504"/>
      <c r="J1369" s="42"/>
      <c r="K1369" s="42"/>
      <c r="L1369" s="42"/>
    </row>
    <row r="1370" spans="1:12" ht="18.75" customHeight="1" x14ac:dyDescent="0.25">
      <c r="A1370" s="132"/>
      <c r="B1370" s="332"/>
      <c r="C1370" s="199"/>
      <c r="D1370" s="199"/>
      <c r="E1370" s="199"/>
      <c r="F1370" s="199"/>
      <c r="G1370" s="199"/>
      <c r="H1370" s="198"/>
      <c r="I1370" s="504"/>
      <c r="J1370" s="42"/>
      <c r="K1370" s="42"/>
      <c r="L1370" s="42"/>
    </row>
    <row r="1371" spans="1:12" ht="18.75" customHeight="1" x14ac:dyDescent="0.25">
      <c r="A1371" s="132"/>
      <c r="B1371" s="332"/>
      <c r="C1371" s="199"/>
      <c r="D1371" s="199"/>
      <c r="E1371" s="199"/>
      <c r="F1371" s="199"/>
      <c r="G1371" s="199"/>
      <c r="H1371" s="198"/>
      <c r="I1371" s="504"/>
      <c r="J1371" s="42"/>
      <c r="K1371" s="42"/>
      <c r="L1371" s="42"/>
    </row>
    <row r="1372" spans="1:12" ht="18.75" customHeight="1" x14ac:dyDescent="0.25">
      <c r="A1372" s="132"/>
      <c r="B1372" s="199"/>
      <c r="C1372" s="199"/>
      <c r="D1372" s="199"/>
      <c r="E1372" s="199"/>
      <c r="F1372" s="199"/>
      <c r="G1372" s="199"/>
      <c r="H1372" s="198"/>
      <c r="I1372" s="504"/>
      <c r="J1372" s="42"/>
      <c r="K1372" s="42"/>
      <c r="L1372" s="42"/>
    </row>
    <row r="1373" spans="1:12" ht="18.75" customHeight="1" x14ac:dyDescent="0.25">
      <c r="A1373" s="132"/>
      <c r="B1373" s="199"/>
      <c r="C1373" s="199"/>
      <c r="D1373" s="199"/>
      <c r="E1373" s="199"/>
      <c r="F1373" s="199"/>
      <c r="G1373" s="199"/>
      <c r="H1373" s="198"/>
      <c r="I1373" s="504"/>
      <c r="J1373" s="42"/>
      <c r="K1373" s="42"/>
      <c r="L1373" s="42"/>
    </row>
    <row r="1374" spans="1:12" ht="18.75" customHeight="1" x14ac:dyDescent="0.25">
      <c r="A1374" s="132"/>
      <c r="B1374" s="199"/>
      <c r="C1374" s="199"/>
      <c r="D1374" s="199"/>
      <c r="E1374" s="199"/>
      <c r="F1374" s="199"/>
      <c r="G1374" s="199"/>
      <c r="H1374" s="198"/>
      <c r="I1374" s="504"/>
      <c r="J1374" s="42"/>
      <c r="K1374" s="42"/>
      <c r="L1374" s="42"/>
    </row>
    <row r="1375" spans="1:12" ht="18.75" customHeight="1" x14ac:dyDescent="0.25">
      <c r="A1375" s="132"/>
      <c r="B1375" s="199"/>
      <c r="C1375" s="199"/>
      <c r="D1375" s="199"/>
      <c r="E1375" s="199"/>
      <c r="F1375" s="199"/>
      <c r="G1375" s="199"/>
      <c r="H1375" s="198"/>
      <c r="I1375" s="504"/>
      <c r="J1375" s="42"/>
      <c r="K1375" s="42"/>
      <c r="L1375" s="42"/>
    </row>
    <row r="1376" spans="1:12" ht="18.75" customHeight="1" x14ac:dyDescent="0.25">
      <c r="A1376" s="132"/>
      <c r="B1376" s="199" t="s">
        <v>134</v>
      </c>
      <c r="C1376" s="199"/>
      <c r="D1376" s="199"/>
      <c r="E1376" s="199"/>
      <c r="F1376" s="199"/>
      <c r="G1376" s="198" t="s">
        <v>939</v>
      </c>
      <c r="H1376" s="171">
        <f>'Process (5)'!H21</f>
        <v>40</v>
      </c>
      <c r="I1376" s="504" t="s">
        <v>28</v>
      </c>
      <c r="J1376" s="42"/>
      <c r="K1376" s="42"/>
      <c r="L1376" s="42"/>
    </row>
    <row r="1377" spans="1:12" ht="18.75" customHeight="1" x14ac:dyDescent="0.25">
      <c r="A1377" s="132"/>
      <c r="B1377" s="199" t="s">
        <v>235</v>
      </c>
      <c r="C1377" s="199"/>
      <c r="D1377" s="199"/>
      <c r="E1377" s="199"/>
      <c r="F1377" s="199"/>
      <c r="G1377" s="198" t="s">
        <v>296</v>
      </c>
      <c r="H1377" s="174">
        <f>'Process (5)'!H22</f>
        <v>9905.5396910481722</v>
      </c>
      <c r="I1377" s="504" t="s">
        <v>40</v>
      </c>
      <c r="J1377" s="42"/>
      <c r="K1377" s="42"/>
      <c r="L1377" s="42"/>
    </row>
    <row r="1378" spans="1:12" ht="18.75" customHeight="1" x14ac:dyDescent="0.25">
      <c r="A1378" s="132"/>
      <c r="B1378" s="281" t="s">
        <v>139</v>
      </c>
      <c r="C1378" s="281"/>
      <c r="D1378" s="281"/>
      <c r="E1378" s="281"/>
      <c r="F1378" s="281"/>
      <c r="G1378" s="251" t="s">
        <v>146</v>
      </c>
      <c r="H1378" s="25">
        <f>'Process (5)'!H23</f>
        <v>3611.0400000000013</v>
      </c>
      <c r="I1378" s="501" t="s">
        <v>42</v>
      </c>
      <c r="J1378" s="42"/>
      <c r="K1378" s="42"/>
      <c r="L1378" s="42"/>
    </row>
    <row r="1379" spans="1:12" ht="18.75" customHeight="1" x14ac:dyDescent="0.25">
      <c r="A1379" s="132"/>
      <c r="B1379" s="199" t="s">
        <v>383</v>
      </c>
      <c r="C1379" s="199"/>
      <c r="D1379" s="199"/>
      <c r="E1379" s="199"/>
      <c r="F1379" s="199"/>
      <c r="G1379" s="198" t="s">
        <v>108</v>
      </c>
      <c r="H1379" s="177">
        <f>'Process (5)'!H24</f>
        <v>0.75230000000000019</v>
      </c>
      <c r="I1379" s="504" t="s">
        <v>127</v>
      </c>
      <c r="J1379" s="42"/>
      <c r="K1379" s="42"/>
      <c r="L1379" s="42"/>
    </row>
    <row r="1380" spans="1:12" ht="18.75" customHeight="1" x14ac:dyDescent="0.25">
      <c r="A1380" s="132"/>
      <c r="B1380" s="199" t="s">
        <v>103</v>
      </c>
      <c r="C1380" s="199"/>
      <c r="D1380" s="199"/>
      <c r="E1380" s="199"/>
      <c r="F1380" s="199"/>
      <c r="G1380" s="198" t="s">
        <v>646</v>
      </c>
      <c r="H1380" s="170">
        <f>'Process (5)'!H25</f>
        <v>1.0880495369754974</v>
      </c>
      <c r="I1380" s="504" t="s">
        <v>2</v>
      </c>
      <c r="J1380" s="42"/>
      <c r="K1380" s="42"/>
      <c r="L1380" s="42"/>
    </row>
    <row r="1381" spans="1:12" ht="18.75" customHeight="1" x14ac:dyDescent="0.25">
      <c r="A1381" s="132"/>
      <c r="B1381" s="199"/>
      <c r="C1381" s="199"/>
      <c r="D1381" s="199"/>
      <c r="E1381" s="199"/>
      <c r="F1381" s="199"/>
      <c r="G1381" s="198" t="s">
        <v>150</v>
      </c>
      <c r="H1381" s="170">
        <f>'Process (5)'!H26</f>
        <v>1.0119504630245026</v>
      </c>
      <c r="I1381" s="504" t="s">
        <v>2</v>
      </c>
      <c r="J1381" s="42"/>
      <c r="K1381" s="42"/>
      <c r="L1381" s="42"/>
    </row>
    <row r="1382" spans="1:12" ht="18.75" customHeight="1" x14ac:dyDescent="0.25">
      <c r="A1382" s="132"/>
      <c r="B1382" s="199" t="s">
        <v>105</v>
      </c>
      <c r="C1382" s="199"/>
      <c r="D1382" s="199"/>
      <c r="E1382" s="199"/>
      <c r="F1382" s="199"/>
      <c r="G1382" s="198" t="s">
        <v>35</v>
      </c>
      <c r="H1382" s="177">
        <f>'Process (5)'!H27</f>
        <v>0.38048637703086957</v>
      </c>
      <c r="I1382" s="504" t="s">
        <v>129</v>
      </c>
      <c r="J1382" s="42"/>
      <c r="K1382" s="42"/>
      <c r="L1382" s="42"/>
    </row>
    <row r="1383" spans="1:12" ht="18.75" customHeight="1" x14ac:dyDescent="0.25">
      <c r="A1383" s="132"/>
      <c r="B1383" s="199" t="s">
        <v>106</v>
      </c>
      <c r="C1383" s="199"/>
      <c r="D1383" s="199"/>
      <c r="E1383" s="199"/>
      <c r="F1383" s="199"/>
      <c r="G1383" s="198" t="s">
        <v>136</v>
      </c>
      <c r="H1383" s="177">
        <f>'Process (5)'!H28</f>
        <v>0.40909910265429483</v>
      </c>
      <c r="I1383" s="504" t="s">
        <v>129</v>
      </c>
      <c r="J1383" s="42"/>
      <c r="K1383" s="42"/>
      <c r="L1383" s="42"/>
    </row>
    <row r="1384" spans="1:12" ht="18.75" customHeight="1" x14ac:dyDescent="0.25">
      <c r="A1384" s="533"/>
      <c r="B1384" s="281" t="s">
        <v>258</v>
      </c>
      <c r="C1384" s="281"/>
      <c r="D1384" s="281"/>
      <c r="E1384" s="281"/>
      <c r="F1384" s="281"/>
      <c r="G1384" s="282" t="s">
        <v>204</v>
      </c>
      <c r="H1384" s="178">
        <f>'Process (5)'!H29</f>
        <v>0.81195046302450269</v>
      </c>
      <c r="I1384" s="505" t="s">
        <v>2</v>
      </c>
      <c r="J1384" s="42"/>
      <c r="K1384" s="42"/>
      <c r="L1384" s="42"/>
    </row>
    <row r="1385" spans="1:12" ht="18.75" customHeight="1" x14ac:dyDescent="0.25">
      <c r="A1385" s="132"/>
      <c r="B1385" s="199" t="s">
        <v>141</v>
      </c>
      <c r="C1385" s="199"/>
      <c r="D1385" s="199"/>
      <c r="E1385" s="199"/>
      <c r="F1385" s="199"/>
      <c r="G1385" s="198" t="s">
        <v>652</v>
      </c>
      <c r="H1385" s="174">
        <f>'Process (5)'!H30</f>
        <v>-1.5193695500330178</v>
      </c>
      <c r="I1385" s="504" t="s">
        <v>28</v>
      </c>
      <c r="J1385" s="42"/>
      <c r="K1385" s="42"/>
      <c r="L1385" s="42"/>
    </row>
    <row r="1386" spans="1:12" ht="18.75" customHeight="1" x14ac:dyDescent="0.25">
      <c r="A1386" s="132"/>
      <c r="B1386" s="199" t="s">
        <v>142</v>
      </c>
      <c r="C1386" s="199"/>
      <c r="D1386" s="199"/>
      <c r="E1386" s="199"/>
      <c r="F1386" s="199"/>
      <c r="G1386" s="198" t="s">
        <v>653</v>
      </c>
      <c r="H1386" s="174">
        <f>'Process (5)'!H31</f>
        <v>-24.000000000000007</v>
      </c>
      <c r="I1386" s="504" t="s">
        <v>28</v>
      </c>
      <c r="J1386" s="42"/>
      <c r="K1386" s="42"/>
      <c r="L1386" s="42"/>
    </row>
    <row r="1387" spans="1:12" ht="18.75" customHeight="1" x14ac:dyDescent="0.25">
      <c r="A1387" s="132"/>
      <c r="B1387" s="199"/>
      <c r="C1387" s="199"/>
      <c r="D1387" s="199"/>
      <c r="E1387" s="199"/>
      <c r="F1387" s="199"/>
      <c r="G1387" s="199"/>
      <c r="H1387" s="198"/>
      <c r="I1387" s="504"/>
      <c r="J1387" s="42"/>
      <c r="K1387" s="42"/>
      <c r="L1387" s="42"/>
    </row>
    <row r="1388" spans="1:12" ht="18.75" customHeight="1" x14ac:dyDescent="0.25">
      <c r="A1388" s="132" t="s">
        <v>665</v>
      </c>
      <c r="B1388" s="332" t="s">
        <v>666</v>
      </c>
      <c r="C1388" s="199"/>
      <c r="D1388" s="199"/>
      <c r="E1388" s="199"/>
      <c r="F1388" s="199"/>
      <c r="G1388" s="199"/>
      <c r="H1388" s="198"/>
      <c r="I1388" s="504"/>
      <c r="J1388" s="42"/>
      <c r="K1388" s="42"/>
      <c r="L1388" s="42"/>
    </row>
    <row r="1389" spans="1:12" ht="18.75" customHeight="1" x14ac:dyDescent="0.25">
      <c r="A1389" s="132"/>
      <c r="B1389" s="332"/>
      <c r="C1389" s="199"/>
      <c r="D1389" s="199"/>
      <c r="E1389" s="199"/>
      <c r="F1389" s="199"/>
      <c r="G1389" s="199"/>
      <c r="H1389" s="198"/>
      <c r="I1389" s="504"/>
      <c r="J1389" s="42"/>
      <c r="K1389" s="42"/>
      <c r="L1389" s="42"/>
    </row>
    <row r="1390" spans="1:12" ht="18.75" customHeight="1" x14ac:dyDescent="0.25">
      <c r="A1390" s="132"/>
      <c r="B1390" s="332"/>
      <c r="C1390" s="199"/>
      <c r="D1390" s="199"/>
      <c r="E1390" s="199"/>
      <c r="F1390" s="199"/>
      <c r="G1390" s="199"/>
      <c r="H1390" s="198"/>
      <c r="I1390" s="504"/>
      <c r="J1390" s="42"/>
      <c r="K1390" s="42"/>
      <c r="L1390" s="42"/>
    </row>
    <row r="1391" spans="1:12" ht="18.75" customHeight="1" x14ac:dyDescent="0.25">
      <c r="A1391" s="132"/>
      <c r="B1391" s="332"/>
      <c r="C1391" s="199"/>
      <c r="D1391" s="199"/>
      <c r="E1391" s="199"/>
      <c r="F1391" s="199"/>
      <c r="G1391" s="199"/>
      <c r="H1391" s="198"/>
      <c r="I1391" s="504"/>
      <c r="J1391" s="42"/>
      <c r="K1391" s="42"/>
      <c r="L1391" s="42"/>
    </row>
    <row r="1392" spans="1:12" ht="18.75" customHeight="1" x14ac:dyDescent="0.25">
      <c r="A1392" s="132"/>
      <c r="B1392" s="332"/>
      <c r="C1392" s="199"/>
      <c r="D1392" s="199"/>
      <c r="E1392" s="199"/>
      <c r="F1392" s="199"/>
      <c r="G1392" s="199"/>
      <c r="H1392" s="198"/>
      <c r="I1392" s="504"/>
      <c r="J1392" s="42"/>
      <c r="K1392" s="42"/>
      <c r="L1392" s="42"/>
    </row>
    <row r="1393" spans="1:12" ht="18.75" customHeight="1" x14ac:dyDescent="0.25">
      <c r="A1393" s="132"/>
      <c r="B1393" s="332"/>
      <c r="C1393" s="199"/>
      <c r="D1393" s="199"/>
      <c r="E1393" s="199"/>
      <c r="F1393" s="199"/>
      <c r="G1393" s="199"/>
      <c r="H1393" s="198"/>
      <c r="I1393" s="504"/>
      <c r="J1393" s="42"/>
      <c r="K1393" s="42"/>
      <c r="L1393" s="42"/>
    </row>
    <row r="1394" spans="1:12" ht="18.75" customHeight="1" x14ac:dyDescent="0.25">
      <c r="A1394" s="132"/>
      <c r="B1394" s="332"/>
      <c r="C1394" s="199"/>
      <c r="D1394" s="199"/>
      <c r="E1394" s="199"/>
      <c r="F1394" s="199"/>
      <c r="G1394" s="199"/>
      <c r="H1394" s="198"/>
      <c r="I1394" s="504"/>
      <c r="J1394" s="42"/>
      <c r="K1394" s="42"/>
      <c r="L1394" s="42"/>
    </row>
    <row r="1395" spans="1:12" ht="18.75" customHeight="1" x14ac:dyDescent="0.25">
      <c r="A1395" s="132"/>
      <c r="B1395" s="332"/>
      <c r="C1395" s="199"/>
      <c r="D1395" s="199"/>
      <c r="E1395" s="199"/>
      <c r="F1395" s="199"/>
      <c r="G1395" s="199"/>
      <c r="H1395" s="198"/>
      <c r="I1395" s="504"/>
      <c r="J1395" s="42"/>
      <c r="K1395" s="42"/>
      <c r="L1395" s="42"/>
    </row>
    <row r="1396" spans="1:12" ht="18.75" customHeight="1" x14ac:dyDescent="0.25">
      <c r="A1396" s="132"/>
      <c r="B1396" s="332"/>
      <c r="C1396" s="199"/>
      <c r="D1396" s="199"/>
      <c r="E1396" s="199"/>
      <c r="F1396" s="199"/>
      <c r="G1396" s="199"/>
      <c r="H1396" s="198"/>
      <c r="I1396" s="504"/>
      <c r="J1396" s="42"/>
      <c r="K1396" s="42"/>
      <c r="L1396" s="42"/>
    </row>
    <row r="1397" spans="1:12" ht="18.75" customHeight="1" x14ac:dyDescent="0.25">
      <c r="A1397" s="132"/>
      <c r="B1397" s="332"/>
      <c r="C1397" s="199"/>
      <c r="D1397" s="199"/>
      <c r="E1397" s="199"/>
      <c r="F1397" s="199"/>
      <c r="G1397" s="199"/>
      <c r="H1397" s="198"/>
      <c r="I1397" s="504"/>
      <c r="J1397" s="42"/>
      <c r="K1397" s="42"/>
      <c r="L1397" s="42"/>
    </row>
    <row r="1398" spans="1:12" ht="18.75" customHeight="1" x14ac:dyDescent="0.25">
      <c r="A1398" s="132"/>
      <c r="B1398" s="199" t="s">
        <v>134</v>
      </c>
      <c r="C1398" s="199"/>
      <c r="D1398" s="199"/>
      <c r="E1398" s="199"/>
      <c r="F1398" s="199"/>
      <c r="G1398" s="198" t="s">
        <v>382</v>
      </c>
      <c r="H1398" s="174">
        <f>'Process (5)'!H43</f>
        <v>40</v>
      </c>
      <c r="I1398" s="504" t="s">
        <v>28</v>
      </c>
      <c r="J1398" s="42"/>
      <c r="K1398" s="42"/>
      <c r="L1398" s="42"/>
    </row>
    <row r="1399" spans="1:12" ht="18.75" customHeight="1" x14ac:dyDescent="0.25">
      <c r="A1399" s="132"/>
      <c r="B1399" s="199" t="s">
        <v>235</v>
      </c>
      <c r="C1399" s="199"/>
      <c r="D1399" s="199"/>
      <c r="E1399" s="199"/>
      <c r="F1399" s="199"/>
      <c r="G1399" s="198" t="s">
        <v>238</v>
      </c>
      <c r="H1399" s="174">
        <f>'Process (5)'!H44</f>
        <v>9905.5396910481722</v>
      </c>
      <c r="I1399" s="504" t="s">
        <v>40</v>
      </c>
      <c r="J1399" s="42"/>
      <c r="K1399" s="42"/>
      <c r="L1399" s="42"/>
    </row>
    <row r="1400" spans="1:12" ht="18.75" customHeight="1" x14ac:dyDescent="0.25">
      <c r="A1400" s="132"/>
      <c r="B1400" s="199" t="s">
        <v>384</v>
      </c>
      <c r="C1400" s="199"/>
      <c r="D1400" s="199"/>
      <c r="E1400" s="199"/>
      <c r="F1400" s="199"/>
      <c r="G1400" s="198" t="s">
        <v>108</v>
      </c>
      <c r="H1400" s="170">
        <f>'Process (5)'!H45</f>
        <v>0.75230000000000019</v>
      </c>
      <c r="I1400" s="504" t="s">
        <v>127</v>
      </c>
      <c r="J1400" s="42"/>
      <c r="K1400" s="42"/>
      <c r="L1400" s="42"/>
    </row>
    <row r="1401" spans="1:12" ht="18.75" customHeight="1" x14ac:dyDescent="0.25">
      <c r="A1401" s="132"/>
      <c r="B1401" s="199" t="s">
        <v>103</v>
      </c>
      <c r="C1401" s="199"/>
      <c r="D1401" s="199"/>
      <c r="E1401" s="199"/>
      <c r="F1401" s="199"/>
      <c r="G1401" s="198" t="s">
        <v>646</v>
      </c>
      <c r="H1401" s="170">
        <f>'Process (5)'!H46</f>
        <v>1.0880495369754974</v>
      </c>
      <c r="I1401" s="504" t="s">
        <v>2</v>
      </c>
      <c r="J1401" s="42"/>
      <c r="K1401" s="42"/>
      <c r="L1401" s="42"/>
    </row>
    <row r="1402" spans="1:12" ht="18.75" customHeight="1" x14ac:dyDescent="0.25">
      <c r="A1402" s="132"/>
      <c r="B1402" s="199"/>
      <c r="C1402" s="199"/>
      <c r="D1402" s="199"/>
      <c r="E1402" s="199"/>
      <c r="F1402" s="199"/>
      <c r="G1402" s="198" t="s">
        <v>150</v>
      </c>
      <c r="H1402" s="170">
        <f>'Process (5)'!H47</f>
        <v>1.0119504630245026</v>
      </c>
      <c r="I1402" s="504" t="s">
        <v>2</v>
      </c>
      <c r="J1402" s="42"/>
      <c r="K1402" s="42"/>
      <c r="L1402" s="42"/>
    </row>
    <row r="1403" spans="1:12" ht="18.75" customHeight="1" x14ac:dyDescent="0.25">
      <c r="A1403" s="132"/>
      <c r="B1403" s="199" t="s">
        <v>105</v>
      </c>
      <c r="C1403" s="199"/>
      <c r="D1403" s="199"/>
      <c r="E1403" s="199"/>
      <c r="F1403" s="199"/>
      <c r="G1403" s="198" t="s">
        <v>35</v>
      </c>
      <c r="H1403" s="170">
        <f>'Process (5)'!H48</f>
        <v>0.38048637703086957</v>
      </c>
      <c r="I1403" s="504" t="s">
        <v>129</v>
      </c>
      <c r="J1403" s="42"/>
      <c r="K1403" s="42"/>
      <c r="L1403" s="42"/>
    </row>
    <row r="1404" spans="1:12" ht="18.75" customHeight="1" x14ac:dyDescent="0.25">
      <c r="A1404" s="132"/>
      <c r="B1404" s="199" t="s">
        <v>106</v>
      </c>
      <c r="C1404" s="199"/>
      <c r="D1404" s="199"/>
      <c r="E1404" s="199"/>
      <c r="F1404" s="199"/>
      <c r="G1404" s="198" t="s">
        <v>136</v>
      </c>
      <c r="H1404" s="170">
        <f>'Process (5)'!H49</f>
        <v>0.40909910265429483</v>
      </c>
      <c r="I1404" s="504" t="s">
        <v>129</v>
      </c>
      <c r="J1404" s="42"/>
      <c r="K1404" s="42"/>
      <c r="L1404" s="42"/>
    </row>
    <row r="1405" spans="1:12" ht="18.75" customHeight="1" x14ac:dyDescent="0.25">
      <c r="A1405" s="533"/>
      <c r="B1405" s="281" t="s">
        <v>258</v>
      </c>
      <c r="C1405" s="281"/>
      <c r="D1405" s="281"/>
      <c r="E1405" s="281"/>
      <c r="F1405" s="281"/>
      <c r="G1405" s="282" t="s">
        <v>204</v>
      </c>
      <c r="H1405" s="170">
        <f>'Process (5)'!H50</f>
        <v>-3.2802798706189913E-2</v>
      </c>
      <c r="I1405" s="505" t="s">
        <v>2</v>
      </c>
      <c r="J1405" s="42"/>
      <c r="K1405" s="42"/>
      <c r="L1405" s="42"/>
    </row>
    <row r="1406" spans="1:12" ht="18.75" customHeight="1" x14ac:dyDescent="0.25">
      <c r="A1406" s="132"/>
      <c r="B1406" s="199" t="s">
        <v>141</v>
      </c>
      <c r="C1406" s="199"/>
      <c r="D1406" s="199"/>
      <c r="E1406" s="199"/>
      <c r="F1406" s="199"/>
      <c r="G1406" s="198" t="s">
        <v>654</v>
      </c>
      <c r="H1406" s="174">
        <f>'Process (5)'!H51</f>
        <v>-14.020991816603312</v>
      </c>
      <c r="I1406" s="504" t="s">
        <v>28</v>
      </c>
      <c r="J1406" s="42"/>
      <c r="K1406" s="42"/>
      <c r="L1406" s="42"/>
    </row>
    <row r="1407" spans="1:12" ht="18.75" customHeight="1" x14ac:dyDescent="0.25">
      <c r="A1407" s="132"/>
      <c r="B1407" s="199" t="s">
        <v>142</v>
      </c>
      <c r="C1407" s="199"/>
      <c r="D1407" s="199"/>
      <c r="E1407" s="199"/>
      <c r="F1407" s="199"/>
      <c r="G1407" s="198" t="s">
        <v>655</v>
      </c>
      <c r="H1407" s="174">
        <f>'Process (5)'!H52</f>
        <v>-12.372751413157271</v>
      </c>
      <c r="I1407" s="504" t="s">
        <v>28</v>
      </c>
      <c r="J1407" s="42"/>
      <c r="K1407" s="42"/>
      <c r="L1407" s="42"/>
    </row>
    <row r="1408" spans="1:12" ht="18.75" customHeight="1" x14ac:dyDescent="0.25">
      <c r="A1408" s="132"/>
      <c r="B1408" s="199"/>
      <c r="C1408" s="199"/>
      <c r="D1408" s="199"/>
      <c r="E1408" s="199"/>
      <c r="F1408" s="199"/>
      <c r="G1408" s="199"/>
      <c r="H1408" s="198"/>
      <c r="I1408" s="504"/>
      <c r="J1408" s="42"/>
      <c r="K1408" s="42"/>
      <c r="L1408" s="42"/>
    </row>
    <row r="1409" spans="1:12" ht="18.75" customHeight="1" x14ac:dyDescent="0.25">
      <c r="A1409" s="132" t="s">
        <v>667</v>
      </c>
      <c r="B1409" s="332" t="s">
        <v>668</v>
      </c>
      <c r="C1409" s="199"/>
      <c r="D1409" s="199"/>
      <c r="E1409" s="199"/>
      <c r="F1409" s="199"/>
      <c r="G1409" s="199"/>
      <c r="H1409" s="198"/>
      <c r="I1409" s="504"/>
      <c r="J1409" s="42"/>
      <c r="K1409" s="42"/>
      <c r="L1409" s="42"/>
    </row>
    <row r="1410" spans="1:12" ht="18.75" customHeight="1" x14ac:dyDescent="0.25">
      <c r="A1410" s="132"/>
      <c r="B1410" s="199"/>
      <c r="C1410" s="199"/>
      <c r="D1410" s="199"/>
      <c r="E1410" s="199"/>
      <c r="F1410" s="199"/>
      <c r="G1410" s="199"/>
      <c r="H1410" s="198"/>
      <c r="I1410" s="504"/>
      <c r="J1410" s="42"/>
      <c r="K1410" s="42"/>
      <c r="L1410" s="42"/>
    </row>
    <row r="1411" spans="1:12" ht="18.75" customHeight="1" x14ac:dyDescent="0.25">
      <c r="A1411" s="132"/>
      <c r="B1411" s="199"/>
      <c r="C1411" s="199"/>
      <c r="D1411" s="199"/>
      <c r="E1411" s="199"/>
      <c r="F1411" s="199"/>
      <c r="G1411" s="199"/>
      <c r="H1411" s="198"/>
      <c r="I1411" s="504"/>
      <c r="J1411" s="42"/>
      <c r="K1411" s="42"/>
      <c r="L1411" s="42"/>
    </row>
    <row r="1412" spans="1:12" ht="18.75" customHeight="1" x14ac:dyDescent="0.25">
      <c r="A1412" s="132"/>
      <c r="B1412" s="199"/>
      <c r="C1412" s="199"/>
      <c r="D1412" s="199"/>
      <c r="E1412" s="199"/>
      <c r="F1412" s="199"/>
      <c r="G1412" s="199"/>
      <c r="H1412" s="198"/>
      <c r="I1412" s="504"/>
      <c r="J1412" s="42"/>
      <c r="K1412" s="42"/>
      <c r="L1412" s="42"/>
    </row>
    <row r="1413" spans="1:12" ht="18.75" customHeight="1" x14ac:dyDescent="0.25">
      <c r="A1413" s="132"/>
      <c r="B1413" s="199"/>
      <c r="C1413" s="199"/>
      <c r="D1413" s="199"/>
      <c r="E1413" s="199"/>
      <c r="F1413" s="199"/>
      <c r="G1413" s="199"/>
      <c r="H1413" s="198"/>
      <c r="I1413" s="504"/>
      <c r="J1413" s="42"/>
      <c r="K1413" s="42"/>
      <c r="L1413" s="42"/>
    </row>
    <row r="1414" spans="1:12" ht="18.75" customHeight="1" x14ac:dyDescent="0.25">
      <c r="A1414" s="132"/>
      <c r="B1414" s="199"/>
      <c r="C1414" s="199"/>
      <c r="D1414" s="199"/>
      <c r="E1414" s="199"/>
      <c r="F1414" s="199"/>
      <c r="G1414" s="199"/>
      <c r="H1414" s="198"/>
      <c r="I1414" s="504"/>
      <c r="J1414" s="42"/>
      <c r="K1414" s="42"/>
      <c r="L1414" s="42"/>
    </row>
    <row r="1415" spans="1:12" ht="18.75" customHeight="1" x14ac:dyDescent="0.25">
      <c r="A1415" s="132"/>
      <c r="B1415" s="199"/>
      <c r="C1415" s="199"/>
      <c r="D1415" s="199"/>
      <c r="E1415" s="199"/>
      <c r="F1415" s="199"/>
      <c r="G1415" s="199"/>
      <c r="H1415" s="198"/>
      <c r="I1415" s="504"/>
      <c r="J1415" s="42"/>
      <c r="K1415" s="42"/>
      <c r="L1415" s="42"/>
    </row>
    <row r="1416" spans="1:12" ht="18.75" customHeight="1" x14ac:dyDescent="0.25">
      <c r="A1416" s="132"/>
      <c r="B1416" s="199"/>
      <c r="C1416" s="199"/>
      <c r="D1416" s="199"/>
      <c r="E1416" s="199"/>
      <c r="F1416" s="199"/>
      <c r="G1416" s="199"/>
      <c r="H1416" s="198"/>
      <c r="I1416" s="504"/>
      <c r="J1416" s="42"/>
      <c r="K1416" s="42"/>
      <c r="L1416" s="42"/>
    </row>
    <row r="1417" spans="1:12" ht="18.75" customHeight="1" x14ac:dyDescent="0.25">
      <c r="A1417" s="132"/>
      <c r="B1417" s="199"/>
      <c r="C1417" s="199"/>
      <c r="D1417" s="199"/>
      <c r="E1417" s="199"/>
      <c r="F1417" s="199"/>
      <c r="G1417" s="199"/>
      <c r="H1417" s="198"/>
      <c r="I1417" s="504"/>
      <c r="J1417" s="42"/>
      <c r="K1417" s="42"/>
      <c r="L1417" s="42"/>
    </row>
    <row r="1418" spans="1:12" ht="18.75" customHeight="1" x14ac:dyDescent="0.25">
      <c r="A1418" s="132"/>
      <c r="B1418" s="199"/>
      <c r="C1418" s="199"/>
      <c r="D1418" s="199"/>
      <c r="E1418" s="199"/>
      <c r="F1418" s="199"/>
      <c r="G1418" s="199"/>
      <c r="H1418" s="198"/>
      <c r="I1418" s="504"/>
      <c r="J1418" s="42"/>
      <c r="K1418" s="42"/>
      <c r="L1418" s="42"/>
    </row>
    <row r="1419" spans="1:12" ht="18.75" customHeight="1" x14ac:dyDescent="0.25">
      <c r="A1419" s="132"/>
      <c r="B1419" s="199" t="s">
        <v>235</v>
      </c>
      <c r="C1419" s="199"/>
      <c r="D1419" s="199"/>
      <c r="E1419" s="199"/>
      <c r="F1419" s="199"/>
      <c r="G1419" s="198" t="s">
        <v>374</v>
      </c>
      <c r="H1419" s="174">
        <f>'Process (5)'!H64</f>
        <v>7579.4128750556474</v>
      </c>
      <c r="I1419" s="504" t="s">
        <v>40</v>
      </c>
      <c r="J1419" s="42"/>
      <c r="K1419" s="42"/>
      <c r="L1419" s="42"/>
    </row>
    <row r="1420" spans="1:12" ht="18.75" customHeight="1" x14ac:dyDescent="0.25">
      <c r="A1420" s="132"/>
      <c r="B1420" s="281" t="s">
        <v>139</v>
      </c>
      <c r="C1420" s="281"/>
      <c r="D1420" s="281"/>
      <c r="E1420" s="281"/>
      <c r="F1420" s="281"/>
      <c r="G1420" s="251" t="s">
        <v>146</v>
      </c>
      <c r="H1420" s="148">
        <f>'Process (5)'!H65</f>
        <v>3611.0400000000013</v>
      </c>
      <c r="I1420" s="501" t="s">
        <v>42</v>
      </c>
      <c r="J1420" s="42"/>
      <c r="K1420" s="42"/>
      <c r="L1420" s="42"/>
    </row>
    <row r="1421" spans="1:12" ht="18.75" customHeight="1" x14ac:dyDescent="0.25">
      <c r="A1421" s="132"/>
      <c r="B1421" s="199" t="s">
        <v>383</v>
      </c>
      <c r="C1421" s="199"/>
      <c r="D1421" s="199"/>
      <c r="E1421" s="199"/>
      <c r="F1421" s="199"/>
      <c r="G1421" s="198" t="s">
        <v>108</v>
      </c>
      <c r="H1421" s="177">
        <f>'Process (5)'!H66</f>
        <v>0.75230000000000019</v>
      </c>
      <c r="I1421" s="504" t="s">
        <v>127</v>
      </c>
      <c r="J1421" s="42"/>
      <c r="K1421" s="42"/>
      <c r="L1421" s="42"/>
    </row>
    <row r="1422" spans="1:12" ht="18.75" customHeight="1" x14ac:dyDescent="0.25">
      <c r="A1422" s="132"/>
      <c r="B1422" s="199" t="s">
        <v>103</v>
      </c>
      <c r="C1422" s="199"/>
      <c r="D1422" s="199"/>
      <c r="E1422" s="199"/>
      <c r="F1422" s="199"/>
      <c r="G1422" s="198" t="s">
        <v>646</v>
      </c>
      <c r="H1422" s="177">
        <f>'Process (5)'!H67</f>
        <v>1.0880495369754974</v>
      </c>
      <c r="I1422" s="504" t="s">
        <v>2</v>
      </c>
      <c r="J1422" s="42"/>
      <c r="K1422" s="42"/>
      <c r="L1422" s="42"/>
    </row>
    <row r="1423" spans="1:12" ht="18.75" customHeight="1" x14ac:dyDescent="0.25">
      <c r="A1423" s="132"/>
      <c r="B1423" s="199"/>
      <c r="C1423" s="199"/>
      <c r="D1423" s="199"/>
      <c r="E1423" s="199"/>
      <c r="F1423" s="199"/>
      <c r="G1423" s="198" t="s">
        <v>150</v>
      </c>
      <c r="H1423" s="177">
        <f>'Process (5)'!H68</f>
        <v>1.0119504630245026</v>
      </c>
      <c r="I1423" s="504" t="s">
        <v>2</v>
      </c>
      <c r="J1423" s="42"/>
      <c r="K1423" s="42"/>
      <c r="L1423" s="42"/>
    </row>
    <row r="1424" spans="1:12" ht="18.75" customHeight="1" x14ac:dyDescent="0.25">
      <c r="A1424" s="132"/>
      <c r="B1424" s="199" t="s">
        <v>105</v>
      </c>
      <c r="C1424" s="199"/>
      <c r="D1424" s="199"/>
      <c r="E1424" s="199"/>
      <c r="F1424" s="199"/>
      <c r="G1424" s="198" t="s">
        <v>35</v>
      </c>
      <c r="H1424" s="177">
        <f>'Process (5)'!H69</f>
        <v>0.38048637703086957</v>
      </c>
      <c r="I1424" s="504" t="s">
        <v>129</v>
      </c>
      <c r="J1424" s="42"/>
      <c r="K1424" s="42"/>
      <c r="L1424" s="42"/>
    </row>
    <row r="1425" spans="1:12" ht="18.75" customHeight="1" x14ac:dyDescent="0.25">
      <c r="A1425" s="132"/>
      <c r="B1425" s="199" t="s">
        <v>106</v>
      </c>
      <c r="C1425" s="199"/>
      <c r="D1425" s="199"/>
      <c r="E1425" s="199"/>
      <c r="F1425" s="199"/>
      <c r="G1425" s="198" t="s">
        <v>136</v>
      </c>
      <c r="H1425" s="177">
        <f>'Process (5)'!H70</f>
        <v>0.40909910265429483</v>
      </c>
      <c r="I1425" s="504" t="s">
        <v>129</v>
      </c>
      <c r="J1425" s="42"/>
      <c r="K1425" s="42"/>
      <c r="L1425" s="42"/>
    </row>
    <row r="1426" spans="1:12" ht="18.75" customHeight="1" x14ac:dyDescent="0.25">
      <c r="A1426" s="533"/>
      <c r="B1426" s="281" t="s">
        <v>258</v>
      </c>
      <c r="C1426" s="281"/>
      <c r="D1426" s="281"/>
      <c r="E1426" s="281"/>
      <c r="F1426" s="281"/>
      <c r="G1426" s="282" t="s">
        <v>204</v>
      </c>
      <c r="H1426" s="177">
        <f>'Process (5)'!H71</f>
        <v>0.81195046302450269</v>
      </c>
      <c r="I1426" s="505" t="s">
        <v>2</v>
      </c>
      <c r="J1426" s="42"/>
      <c r="K1426" s="42"/>
      <c r="L1426" s="42"/>
    </row>
    <row r="1427" spans="1:12" ht="18.75" customHeight="1" x14ac:dyDescent="0.25">
      <c r="A1427" s="132"/>
      <c r="B1427" s="199" t="s">
        <v>141</v>
      </c>
      <c r="C1427" s="199"/>
      <c r="D1427" s="199"/>
      <c r="E1427" s="199"/>
      <c r="F1427" s="199"/>
      <c r="G1427" s="198" t="s">
        <v>657</v>
      </c>
      <c r="H1427" s="174">
        <f>'Process (5)'!H72</f>
        <v>-3.3912583082419423</v>
      </c>
      <c r="I1427" s="504" t="s">
        <v>28</v>
      </c>
      <c r="J1427" s="42"/>
      <c r="K1427" s="42"/>
      <c r="L1427" s="42"/>
    </row>
    <row r="1428" spans="1:12" ht="18.75" customHeight="1" x14ac:dyDescent="0.25">
      <c r="A1428" s="132"/>
      <c r="B1428" s="199" t="s">
        <v>142</v>
      </c>
      <c r="C1428" s="199"/>
      <c r="D1428" s="199"/>
      <c r="E1428" s="199"/>
      <c r="F1428" s="199"/>
      <c r="G1428" s="198" t="s">
        <v>658</v>
      </c>
      <c r="H1428" s="174">
        <f>'Process (5)'!H73</f>
        <v>-16.29125064154811</v>
      </c>
      <c r="I1428" s="504" t="s">
        <v>28</v>
      </c>
      <c r="J1428" s="42"/>
      <c r="K1428" s="42"/>
      <c r="L1428" s="42"/>
    </row>
    <row r="1429" spans="1:12" ht="18.75" customHeight="1" x14ac:dyDescent="0.25">
      <c r="A1429" s="132"/>
      <c r="B1429" s="199"/>
      <c r="C1429" s="199"/>
      <c r="D1429" s="199"/>
      <c r="E1429" s="199"/>
      <c r="F1429" s="199"/>
      <c r="G1429" s="199"/>
      <c r="H1429" s="198"/>
      <c r="I1429" s="504"/>
      <c r="J1429" s="42"/>
      <c r="K1429" s="42"/>
      <c r="L1429" s="42"/>
    </row>
    <row r="1430" spans="1:12" ht="18.75" customHeight="1" x14ac:dyDescent="0.25">
      <c r="A1430" s="132" t="s">
        <v>669</v>
      </c>
      <c r="B1430" s="332" t="s">
        <v>670</v>
      </c>
      <c r="C1430" s="199"/>
      <c r="D1430" s="199"/>
      <c r="E1430" s="199"/>
      <c r="F1430" s="199"/>
      <c r="G1430" s="199"/>
      <c r="H1430" s="198"/>
      <c r="I1430" s="504"/>
      <c r="J1430" s="42"/>
      <c r="K1430" s="42"/>
      <c r="L1430" s="42"/>
    </row>
    <row r="1431" spans="1:12" ht="18.75" customHeight="1" x14ac:dyDescent="0.25">
      <c r="A1431" s="132"/>
      <c r="B1431" s="332"/>
      <c r="C1431" s="199"/>
      <c r="D1431" s="199"/>
      <c r="E1431" s="199"/>
      <c r="F1431" s="199"/>
      <c r="G1431" s="199"/>
      <c r="H1431" s="198"/>
      <c r="I1431" s="504"/>
      <c r="J1431" s="42"/>
      <c r="K1431" s="42"/>
      <c r="L1431" s="42"/>
    </row>
    <row r="1432" spans="1:12" ht="18.75" customHeight="1" x14ac:dyDescent="0.25">
      <c r="A1432" s="132"/>
      <c r="B1432" s="332"/>
      <c r="C1432" s="199"/>
      <c r="D1432" s="199"/>
      <c r="E1432" s="199"/>
      <c r="F1432" s="199"/>
      <c r="G1432" s="199"/>
      <c r="H1432" s="198"/>
      <c r="I1432" s="504"/>
      <c r="J1432" s="42"/>
      <c r="K1432" s="42"/>
      <c r="L1432" s="42"/>
    </row>
    <row r="1433" spans="1:12" ht="18.75" customHeight="1" x14ac:dyDescent="0.25">
      <c r="A1433" s="132"/>
      <c r="B1433" s="332"/>
      <c r="C1433" s="199"/>
      <c r="D1433" s="199"/>
      <c r="E1433" s="199"/>
      <c r="F1433" s="199"/>
      <c r="G1433" s="199"/>
      <c r="H1433" s="198"/>
      <c r="I1433" s="504"/>
      <c r="J1433" s="42"/>
      <c r="K1433" s="42"/>
      <c r="L1433" s="42"/>
    </row>
    <row r="1434" spans="1:12" ht="18.75" customHeight="1" x14ac:dyDescent="0.25">
      <c r="A1434" s="132"/>
      <c r="B1434" s="332"/>
      <c r="C1434" s="199"/>
      <c r="D1434" s="199"/>
      <c r="E1434" s="199"/>
      <c r="F1434" s="199"/>
      <c r="G1434" s="199"/>
      <c r="H1434" s="198"/>
      <c r="I1434" s="504"/>
      <c r="J1434" s="42"/>
      <c r="K1434" s="42"/>
      <c r="L1434" s="42"/>
    </row>
    <row r="1435" spans="1:12" ht="18.75" customHeight="1" x14ac:dyDescent="0.25">
      <c r="A1435" s="132"/>
      <c r="B1435" s="332"/>
      <c r="C1435" s="199"/>
      <c r="D1435" s="199"/>
      <c r="E1435" s="199"/>
      <c r="F1435" s="199"/>
      <c r="G1435" s="199"/>
      <c r="H1435" s="198"/>
      <c r="I1435" s="504"/>
      <c r="J1435" s="42"/>
      <c r="K1435" s="42"/>
      <c r="L1435" s="42"/>
    </row>
    <row r="1436" spans="1:12" ht="18.75" customHeight="1" x14ac:dyDescent="0.25">
      <c r="A1436" s="132"/>
      <c r="B1436" s="332"/>
      <c r="C1436" s="199"/>
      <c r="D1436" s="199"/>
      <c r="E1436" s="199"/>
      <c r="F1436" s="199"/>
      <c r="G1436" s="199"/>
      <c r="H1436" s="198"/>
      <c r="I1436" s="504"/>
      <c r="J1436" s="42"/>
      <c r="K1436" s="42"/>
      <c r="L1436" s="42"/>
    </row>
    <row r="1437" spans="1:12" ht="18.75" customHeight="1" x14ac:dyDescent="0.25">
      <c r="A1437" s="132"/>
      <c r="B1437" s="332"/>
      <c r="C1437" s="199"/>
      <c r="D1437" s="199"/>
      <c r="E1437" s="199"/>
      <c r="F1437" s="199"/>
      <c r="G1437" s="199"/>
      <c r="H1437" s="198"/>
      <c r="I1437" s="504"/>
      <c r="J1437" s="42"/>
      <c r="K1437" s="42"/>
      <c r="L1437" s="42"/>
    </row>
    <row r="1438" spans="1:12" ht="18.75" customHeight="1" x14ac:dyDescent="0.25">
      <c r="A1438" s="132"/>
      <c r="B1438" s="332"/>
      <c r="C1438" s="199"/>
      <c r="D1438" s="199"/>
      <c r="E1438" s="199"/>
      <c r="F1438" s="199"/>
      <c r="G1438" s="199"/>
      <c r="H1438" s="198"/>
      <c r="I1438" s="504"/>
      <c r="J1438" s="42"/>
      <c r="K1438" s="42"/>
      <c r="L1438" s="42"/>
    </row>
    <row r="1439" spans="1:12" ht="18.75" customHeight="1" x14ac:dyDescent="0.25">
      <c r="A1439" s="132"/>
      <c r="B1439" s="332"/>
      <c r="C1439" s="199"/>
      <c r="D1439" s="199"/>
      <c r="E1439" s="199"/>
      <c r="F1439" s="199"/>
      <c r="G1439" s="199"/>
      <c r="H1439" s="198"/>
      <c r="I1439" s="504"/>
      <c r="J1439" s="42"/>
      <c r="K1439" s="42"/>
      <c r="L1439" s="42"/>
    </row>
    <row r="1440" spans="1:12" ht="18.75" customHeight="1" x14ac:dyDescent="0.25">
      <c r="A1440" s="132"/>
      <c r="B1440" s="199" t="s">
        <v>235</v>
      </c>
      <c r="C1440" s="199"/>
      <c r="D1440" s="199"/>
      <c r="E1440" s="199"/>
      <c r="F1440" s="199"/>
      <c r="G1440" s="198" t="s">
        <v>374</v>
      </c>
      <c r="H1440" s="174">
        <f>'Process (5)'!H85</f>
        <v>7579.4128750556474</v>
      </c>
      <c r="I1440" s="504" t="s">
        <v>40</v>
      </c>
      <c r="J1440" s="42"/>
      <c r="K1440" s="42"/>
      <c r="L1440" s="42"/>
    </row>
    <row r="1441" spans="1:12" ht="18.75" customHeight="1" x14ac:dyDescent="0.25">
      <c r="A1441" s="132"/>
      <c r="B1441" s="199" t="s">
        <v>383</v>
      </c>
      <c r="C1441" s="199"/>
      <c r="D1441" s="199"/>
      <c r="E1441" s="199"/>
      <c r="F1441" s="199"/>
      <c r="G1441" s="198" t="s">
        <v>108</v>
      </c>
      <c r="H1441" s="177">
        <f>'Process (5)'!H86</f>
        <v>0.75230000000000019</v>
      </c>
      <c r="I1441" s="504" t="s">
        <v>127</v>
      </c>
      <c r="J1441" s="42"/>
      <c r="K1441" s="42"/>
      <c r="L1441" s="42"/>
    </row>
    <row r="1442" spans="1:12" ht="18.75" customHeight="1" x14ac:dyDescent="0.25">
      <c r="A1442" s="132"/>
      <c r="B1442" s="199" t="s">
        <v>103</v>
      </c>
      <c r="C1442" s="199"/>
      <c r="D1442" s="199"/>
      <c r="E1442" s="199"/>
      <c r="F1442" s="199"/>
      <c r="G1442" s="198" t="s">
        <v>646</v>
      </c>
      <c r="H1442" s="177">
        <f>'Process (5)'!H87</f>
        <v>1.0880495369754974</v>
      </c>
      <c r="I1442" s="504" t="s">
        <v>2</v>
      </c>
      <c r="J1442" s="42"/>
      <c r="K1442" s="42"/>
      <c r="L1442" s="42"/>
    </row>
    <row r="1443" spans="1:12" ht="18.75" customHeight="1" x14ac:dyDescent="0.25">
      <c r="A1443" s="132"/>
      <c r="B1443" s="199"/>
      <c r="C1443" s="199"/>
      <c r="D1443" s="199"/>
      <c r="E1443" s="199"/>
      <c r="F1443" s="199"/>
      <c r="G1443" s="198" t="s">
        <v>150</v>
      </c>
      <c r="H1443" s="177">
        <f>'Process (5)'!H88</f>
        <v>1.0119504630245026</v>
      </c>
      <c r="I1443" s="504" t="s">
        <v>2</v>
      </c>
      <c r="J1443" s="42"/>
      <c r="K1443" s="42"/>
      <c r="L1443" s="42"/>
    </row>
    <row r="1444" spans="1:12" ht="18.75" customHeight="1" x14ac:dyDescent="0.25">
      <c r="A1444" s="132"/>
      <c r="B1444" s="199" t="s">
        <v>105</v>
      </c>
      <c r="C1444" s="199"/>
      <c r="D1444" s="199"/>
      <c r="E1444" s="199"/>
      <c r="F1444" s="199"/>
      <c r="G1444" s="198" t="s">
        <v>35</v>
      </c>
      <c r="H1444" s="177">
        <f>'Process (5)'!H89</f>
        <v>0.38048637703086957</v>
      </c>
      <c r="I1444" s="504" t="s">
        <v>129</v>
      </c>
      <c r="J1444" s="42"/>
      <c r="K1444" s="42"/>
      <c r="L1444" s="42"/>
    </row>
    <row r="1445" spans="1:12" ht="18.75" customHeight="1" x14ac:dyDescent="0.25">
      <c r="A1445" s="132"/>
      <c r="B1445" s="199" t="s">
        <v>106</v>
      </c>
      <c r="C1445" s="199"/>
      <c r="D1445" s="199"/>
      <c r="E1445" s="199"/>
      <c r="F1445" s="199"/>
      <c r="G1445" s="198" t="s">
        <v>136</v>
      </c>
      <c r="H1445" s="177">
        <f>'Process (5)'!H90</f>
        <v>0.40909910265429483</v>
      </c>
      <c r="I1445" s="504" t="s">
        <v>129</v>
      </c>
      <c r="J1445" s="42"/>
      <c r="K1445" s="42"/>
      <c r="L1445" s="42"/>
    </row>
    <row r="1446" spans="1:12" ht="18.75" customHeight="1" x14ac:dyDescent="0.25">
      <c r="A1446" s="132"/>
      <c r="B1446" s="281" t="s">
        <v>258</v>
      </c>
      <c r="C1446" s="281"/>
      <c r="D1446" s="281"/>
      <c r="E1446" s="281"/>
      <c r="F1446" s="281"/>
      <c r="G1446" s="282" t="s">
        <v>204</v>
      </c>
      <c r="H1446" s="177">
        <f>'Process (5)'!H91</f>
        <v>-3.2802798706189913E-2</v>
      </c>
      <c r="I1446" s="505" t="s">
        <v>2</v>
      </c>
      <c r="J1446" s="42"/>
      <c r="K1446" s="42"/>
      <c r="L1446" s="42"/>
    </row>
    <row r="1447" spans="1:12" ht="18.75" customHeight="1" x14ac:dyDescent="0.25">
      <c r="A1447" s="132"/>
      <c r="B1447" s="199" t="s">
        <v>141</v>
      </c>
      <c r="C1447" s="199"/>
      <c r="D1447" s="199"/>
      <c r="E1447" s="199"/>
      <c r="F1447" s="199"/>
      <c r="G1447" s="198" t="s">
        <v>983</v>
      </c>
      <c r="H1447" s="174">
        <f>'Process (5)'!H92</f>
        <v>-10.728429667678991</v>
      </c>
      <c r="I1447" s="504" t="s">
        <v>28</v>
      </c>
      <c r="J1447" s="42"/>
      <c r="K1447" s="42"/>
      <c r="L1447" s="42"/>
    </row>
    <row r="1448" spans="1:12" ht="18.75" customHeight="1" x14ac:dyDescent="0.25">
      <c r="A1448" s="132"/>
      <c r="B1448" s="199" t="s">
        <v>142</v>
      </c>
      <c r="C1448" s="199"/>
      <c r="D1448" s="199"/>
      <c r="E1448" s="199"/>
      <c r="F1448" s="199"/>
      <c r="G1448" s="198" t="s">
        <v>984</v>
      </c>
      <c r="H1448" s="174">
        <f>'Process (5)'!H93</f>
        <v>-9.467247044146049</v>
      </c>
      <c r="I1448" s="504" t="s">
        <v>28</v>
      </c>
      <c r="J1448" s="42"/>
      <c r="K1448" s="42"/>
      <c r="L1448" s="42"/>
    </row>
    <row r="1449" spans="1:12" ht="18.75" customHeight="1" x14ac:dyDescent="0.25">
      <c r="A1449" s="132"/>
      <c r="B1449" s="199"/>
      <c r="C1449" s="199"/>
      <c r="D1449" s="199"/>
      <c r="E1449" s="199"/>
      <c r="F1449" s="199"/>
      <c r="G1449" s="199"/>
      <c r="H1449" s="198"/>
      <c r="I1449" s="504"/>
      <c r="J1449" s="42"/>
      <c r="K1449" s="42"/>
      <c r="L1449" s="42"/>
    </row>
    <row r="1450" spans="1:12" ht="18.75" customHeight="1" x14ac:dyDescent="0.25">
      <c r="A1450" s="132" t="s">
        <v>671</v>
      </c>
      <c r="B1450" s="332" t="s">
        <v>672</v>
      </c>
      <c r="C1450" s="199"/>
      <c r="D1450" s="199"/>
      <c r="E1450" s="199"/>
      <c r="F1450" s="199"/>
      <c r="G1450" s="199"/>
      <c r="H1450" s="198"/>
      <c r="I1450" s="504"/>
      <c r="J1450" s="42"/>
      <c r="K1450" s="42"/>
      <c r="L1450" s="42"/>
    </row>
    <row r="1451" spans="1:12" ht="18.75" customHeight="1" x14ac:dyDescent="0.25">
      <c r="A1451" s="132"/>
      <c r="B1451" s="332"/>
      <c r="C1451" s="199"/>
      <c r="D1451" s="199"/>
      <c r="E1451" s="199"/>
      <c r="F1451" s="199"/>
      <c r="G1451" s="199"/>
      <c r="H1451" s="198"/>
      <c r="I1451" s="504"/>
      <c r="J1451" s="42"/>
      <c r="K1451" s="42"/>
      <c r="L1451" s="42"/>
    </row>
    <row r="1452" spans="1:12" ht="18.75" customHeight="1" x14ac:dyDescent="0.25">
      <c r="A1452" s="132"/>
      <c r="B1452" s="332"/>
      <c r="C1452" s="199"/>
      <c r="D1452" s="199"/>
      <c r="E1452" s="199"/>
      <c r="F1452" s="199"/>
      <c r="G1452" s="199"/>
      <c r="H1452" s="198"/>
      <c r="I1452" s="504"/>
      <c r="J1452" s="42"/>
      <c r="K1452" s="42"/>
      <c r="L1452" s="42"/>
    </row>
    <row r="1453" spans="1:12" ht="18.75" customHeight="1" x14ac:dyDescent="0.25">
      <c r="A1453" s="132"/>
      <c r="B1453" s="332"/>
      <c r="C1453" s="199"/>
      <c r="D1453" s="199"/>
      <c r="E1453" s="199"/>
      <c r="F1453" s="199"/>
      <c r="G1453" s="199"/>
      <c r="H1453" s="198"/>
      <c r="I1453" s="504"/>
      <c r="J1453" s="42"/>
      <c r="K1453" s="42"/>
      <c r="L1453" s="42"/>
    </row>
    <row r="1454" spans="1:12" ht="18.75" customHeight="1" x14ac:dyDescent="0.25">
      <c r="A1454" s="132"/>
      <c r="B1454" s="332"/>
      <c r="C1454" s="199"/>
      <c r="D1454" s="199"/>
      <c r="E1454" s="199"/>
      <c r="F1454" s="199"/>
      <c r="G1454" s="199"/>
      <c r="H1454" s="198"/>
      <c r="I1454" s="504"/>
      <c r="J1454" s="42"/>
      <c r="K1454" s="42"/>
      <c r="L1454" s="42"/>
    </row>
    <row r="1455" spans="1:12" ht="18.75" customHeight="1" x14ac:dyDescent="0.25">
      <c r="A1455" s="132"/>
      <c r="B1455" s="332"/>
      <c r="C1455" s="199"/>
      <c r="D1455" s="199"/>
      <c r="E1455" s="199"/>
      <c r="F1455" s="199"/>
      <c r="G1455" s="199"/>
      <c r="H1455" s="198"/>
      <c r="I1455" s="504"/>
      <c r="J1455" s="42"/>
      <c r="K1455" s="42"/>
      <c r="L1455" s="42"/>
    </row>
    <row r="1456" spans="1:12" ht="18.75" customHeight="1" x14ac:dyDescent="0.25">
      <c r="A1456" s="132"/>
      <c r="B1456" s="332"/>
      <c r="C1456" s="199"/>
      <c r="D1456" s="199"/>
      <c r="E1456" s="199"/>
      <c r="F1456" s="199"/>
      <c r="G1456" s="199"/>
      <c r="H1456" s="198"/>
      <c r="I1456" s="504"/>
      <c r="J1456" s="42"/>
      <c r="K1456" s="42"/>
      <c r="L1456" s="42"/>
    </row>
    <row r="1457" spans="1:12" ht="18.75" customHeight="1" x14ac:dyDescent="0.25">
      <c r="A1457" s="132"/>
      <c r="B1457" s="332"/>
      <c r="C1457" s="199"/>
      <c r="D1457" s="199"/>
      <c r="E1457" s="199"/>
      <c r="F1457" s="199"/>
      <c r="G1457" s="199"/>
      <c r="H1457" s="198"/>
      <c r="I1457" s="504"/>
      <c r="J1457" s="42"/>
      <c r="K1457" s="42"/>
      <c r="L1457" s="42"/>
    </row>
    <row r="1458" spans="1:12" ht="18.75" customHeight="1" x14ac:dyDescent="0.25">
      <c r="A1458" s="132"/>
      <c r="B1458" s="332"/>
      <c r="C1458" s="199"/>
      <c r="D1458" s="199"/>
      <c r="E1458" s="199"/>
      <c r="F1458" s="199"/>
      <c r="G1458" s="199"/>
      <c r="H1458" s="198"/>
      <c r="I1458" s="504"/>
      <c r="J1458" s="42"/>
      <c r="K1458" s="42"/>
      <c r="L1458" s="42"/>
    </row>
    <row r="1459" spans="1:12" ht="18.75" customHeight="1" x14ac:dyDescent="0.25">
      <c r="A1459" s="132"/>
      <c r="B1459" s="332"/>
      <c r="C1459" s="199"/>
      <c r="D1459" s="199"/>
      <c r="E1459" s="199"/>
      <c r="F1459" s="199"/>
      <c r="G1459" s="199"/>
      <c r="H1459" s="198"/>
      <c r="I1459" s="504"/>
      <c r="J1459" s="42"/>
      <c r="K1459" s="42"/>
      <c r="L1459" s="42"/>
    </row>
    <row r="1460" spans="1:12" ht="18.75" customHeight="1" x14ac:dyDescent="0.25">
      <c r="A1460" s="132"/>
      <c r="B1460" s="199" t="s">
        <v>235</v>
      </c>
      <c r="C1460" s="199"/>
      <c r="D1460" s="199"/>
      <c r="E1460" s="199"/>
      <c r="F1460" s="199"/>
      <c r="G1460" s="198" t="s">
        <v>374</v>
      </c>
      <c r="H1460" s="174">
        <f>'Process (5)'!H105</f>
        <v>7579.4128750556474</v>
      </c>
      <c r="I1460" s="504" t="s">
        <v>40</v>
      </c>
      <c r="J1460" s="42"/>
      <c r="K1460" s="42"/>
      <c r="L1460" s="42"/>
    </row>
    <row r="1461" spans="1:12" ht="18.75" customHeight="1" x14ac:dyDescent="0.25">
      <c r="A1461" s="132"/>
      <c r="B1461" s="281" t="s">
        <v>139</v>
      </c>
      <c r="C1461" s="281"/>
      <c r="D1461" s="281"/>
      <c r="E1461" s="281"/>
      <c r="F1461" s="281"/>
      <c r="G1461" s="251" t="s">
        <v>146</v>
      </c>
      <c r="H1461" s="148">
        <f>'Process (5)'!H106</f>
        <v>3611.0400000000013</v>
      </c>
      <c r="I1461" s="501" t="s">
        <v>42</v>
      </c>
      <c r="J1461" s="42"/>
      <c r="K1461" s="42"/>
      <c r="L1461" s="42"/>
    </row>
    <row r="1462" spans="1:12" ht="18.75" customHeight="1" x14ac:dyDescent="0.25">
      <c r="A1462" s="132"/>
      <c r="B1462" s="281" t="s">
        <v>751</v>
      </c>
      <c r="C1462" s="281"/>
      <c r="D1462" s="281"/>
      <c r="E1462" s="281"/>
      <c r="F1462" s="281"/>
      <c r="G1462" s="251" t="s">
        <v>928</v>
      </c>
      <c r="H1462" s="148">
        <f>'Process (5)'!H107</f>
        <v>2806.0800000000008</v>
      </c>
      <c r="I1462" s="501" t="s">
        <v>42</v>
      </c>
      <c r="J1462" s="42"/>
      <c r="K1462" s="42"/>
      <c r="L1462" s="42"/>
    </row>
    <row r="1463" spans="1:12" ht="18.75" customHeight="1" x14ac:dyDescent="0.25">
      <c r="A1463" s="132"/>
      <c r="B1463" s="199" t="s">
        <v>383</v>
      </c>
      <c r="C1463" s="199"/>
      <c r="D1463" s="199"/>
      <c r="E1463" s="199"/>
      <c r="F1463" s="199"/>
      <c r="G1463" s="198" t="s">
        <v>108</v>
      </c>
      <c r="H1463" s="177">
        <f>'Process (5)'!H108</f>
        <v>0.75230000000000019</v>
      </c>
      <c r="I1463" s="504" t="s">
        <v>127</v>
      </c>
      <c r="J1463" s="42"/>
      <c r="K1463" s="42"/>
      <c r="L1463" s="42"/>
    </row>
    <row r="1464" spans="1:12" ht="18.75" customHeight="1" x14ac:dyDescent="0.25">
      <c r="A1464" s="132"/>
      <c r="B1464" s="199" t="s">
        <v>103</v>
      </c>
      <c r="C1464" s="199"/>
      <c r="D1464" s="199"/>
      <c r="E1464" s="199"/>
      <c r="F1464" s="199"/>
      <c r="G1464" s="198" t="s">
        <v>646</v>
      </c>
      <c r="H1464" s="177">
        <f>'Process (5)'!H109</f>
        <v>1.0880495369754974</v>
      </c>
      <c r="I1464" s="504" t="s">
        <v>2</v>
      </c>
      <c r="J1464" s="42"/>
      <c r="K1464" s="42"/>
      <c r="L1464" s="42"/>
    </row>
    <row r="1465" spans="1:12" ht="18.75" customHeight="1" x14ac:dyDescent="0.25">
      <c r="A1465" s="132"/>
      <c r="B1465" s="199"/>
      <c r="C1465" s="199"/>
      <c r="D1465" s="199"/>
      <c r="E1465" s="199"/>
      <c r="F1465" s="199"/>
      <c r="G1465" s="198" t="s">
        <v>150</v>
      </c>
      <c r="H1465" s="177">
        <f>'Process (5)'!H110</f>
        <v>1.0119504630245026</v>
      </c>
      <c r="I1465" s="504" t="s">
        <v>2</v>
      </c>
      <c r="J1465" s="42"/>
      <c r="K1465" s="42"/>
      <c r="L1465" s="42"/>
    </row>
    <row r="1466" spans="1:12" ht="18.75" customHeight="1" x14ac:dyDescent="0.25">
      <c r="A1466" s="132"/>
      <c r="B1466" s="199" t="s">
        <v>105</v>
      </c>
      <c r="C1466" s="199"/>
      <c r="D1466" s="199"/>
      <c r="E1466" s="199"/>
      <c r="F1466" s="199"/>
      <c r="G1466" s="198" t="s">
        <v>35</v>
      </c>
      <c r="H1466" s="177">
        <f>'Process (5)'!H111</f>
        <v>0.38048637703086957</v>
      </c>
      <c r="I1466" s="504" t="s">
        <v>129</v>
      </c>
      <c r="J1466" s="42"/>
      <c r="K1466" s="42"/>
      <c r="L1466" s="42"/>
    </row>
    <row r="1467" spans="1:12" ht="18.75" customHeight="1" x14ac:dyDescent="0.25">
      <c r="A1467" s="132"/>
      <c r="B1467" s="199" t="s">
        <v>106</v>
      </c>
      <c r="C1467" s="199"/>
      <c r="D1467" s="199"/>
      <c r="E1467" s="199"/>
      <c r="F1467" s="199"/>
      <c r="G1467" s="198" t="s">
        <v>136</v>
      </c>
      <c r="H1467" s="177">
        <f>'Process (5)'!H112</f>
        <v>0.40909910265429483</v>
      </c>
      <c r="I1467" s="504" t="s">
        <v>129</v>
      </c>
      <c r="J1467" s="42"/>
      <c r="K1467" s="42"/>
      <c r="L1467" s="42"/>
    </row>
    <row r="1468" spans="1:12" ht="18.75" customHeight="1" x14ac:dyDescent="0.25">
      <c r="A1468" s="533"/>
      <c r="B1468" s="281" t="s">
        <v>258</v>
      </c>
      <c r="C1468" s="281"/>
      <c r="D1468" s="281"/>
      <c r="E1468" s="281"/>
      <c r="F1468" s="281"/>
      <c r="G1468" s="282" t="s">
        <v>204</v>
      </c>
      <c r="H1468" s="177">
        <f>'Process (5)'!H113</f>
        <v>0.81195046302450269</v>
      </c>
      <c r="I1468" s="505" t="s">
        <v>2</v>
      </c>
      <c r="J1468" s="42"/>
      <c r="K1468" s="42"/>
      <c r="L1468" s="42"/>
    </row>
    <row r="1469" spans="1:12" ht="18.75" customHeight="1" x14ac:dyDescent="0.25">
      <c r="A1469" s="132"/>
      <c r="B1469" s="199" t="s">
        <v>141</v>
      </c>
      <c r="C1469" s="199"/>
      <c r="D1469" s="199"/>
      <c r="E1469" s="199"/>
      <c r="F1469" s="199"/>
      <c r="G1469" s="198" t="s">
        <v>699</v>
      </c>
      <c r="H1469" s="174">
        <f>'Process (5)'!H114</f>
        <v>-10.766239830306631</v>
      </c>
      <c r="I1469" s="504" t="s">
        <v>28</v>
      </c>
      <c r="J1469" s="42"/>
      <c r="K1469" s="42"/>
      <c r="L1469" s="42"/>
    </row>
    <row r="1470" spans="1:12" ht="18.75" customHeight="1" x14ac:dyDescent="0.25">
      <c r="A1470" s="132"/>
      <c r="B1470" s="199" t="s">
        <v>142</v>
      </c>
      <c r="C1470" s="199"/>
      <c r="D1470" s="199"/>
      <c r="E1470" s="199"/>
      <c r="F1470" s="199"/>
      <c r="G1470" s="198" t="s">
        <v>700</v>
      </c>
      <c r="H1470" s="174">
        <f>'Process (5)'!H115</f>
        <v>-9.4320813551973366</v>
      </c>
      <c r="I1470" s="504" t="s">
        <v>28</v>
      </c>
      <c r="J1470" s="42"/>
      <c r="K1470" s="42"/>
      <c r="L1470" s="42"/>
    </row>
    <row r="1471" spans="1:12" ht="18.75" customHeight="1" x14ac:dyDescent="0.25">
      <c r="A1471" s="132"/>
      <c r="B1471" s="199"/>
      <c r="C1471" s="199"/>
      <c r="D1471" s="199"/>
      <c r="E1471" s="199"/>
      <c r="F1471" s="199"/>
      <c r="G1471" s="199"/>
      <c r="H1471" s="198"/>
      <c r="I1471" s="504"/>
      <c r="J1471" s="42"/>
      <c r="K1471" s="42"/>
      <c r="L1471" s="42"/>
    </row>
    <row r="1472" spans="1:12" ht="18.75" customHeight="1" x14ac:dyDescent="0.25">
      <c r="A1472" s="132"/>
      <c r="B1472" s="199"/>
      <c r="C1472" s="199"/>
      <c r="D1472" s="199"/>
      <c r="E1472" s="199"/>
      <c r="F1472" s="199"/>
      <c r="G1472" s="199"/>
      <c r="H1472" s="198"/>
      <c r="I1472" s="504"/>
      <c r="J1472" s="42"/>
      <c r="K1472" s="42"/>
      <c r="L1472" s="42"/>
    </row>
    <row r="1473" spans="1:12" ht="18.75" customHeight="1" x14ac:dyDescent="0.25">
      <c r="A1473" s="132"/>
      <c r="B1473" s="199"/>
      <c r="C1473" s="199"/>
      <c r="D1473" s="199"/>
      <c r="E1473" s="199"/>
      <c r="F1473" s="199"/>
      <c r="G1473" s="199"/>
      <c r="H1473" s="198"/>
      <c r="I1473" s="504"/>
      <c r="J1473" s="42"/>
      <c r="K1473" s="42"/>
      <c r="L1473" s="42"/>
    </row>
    <row r="1474" spans="1:12" ht="18.75" customHeight="1" x14ac:dyDescent="0.25">
      <c r="A1474" s="132"/>
      <c r="B1474" s="199"/>
      <c r="C1474" s="199"/>
      <c r="D1474" s="199"/>
      <c r="E1474" s="199"/>
      <c r="F1474" s="199"/>
      <c r="G1474" s="199"/>
      <c r="H1474" s="198"/>
      <c r="I1474" s="504"/>
      <c r="J1474" s="42"/>
      <c r="K1474" s="42"/>
      <c r="L1474" s="42"/>
    </row>
    <row r="1475" spans="1:12" ht="18.75" customHeight="1" x14ac:dyDescent="0.25">
      <c r="A1475" s="132"/>
      <c r="B1475" s="199"/>
      <c r="C1475" s="199"/>
      <c r="D1475" s="199"/>
      <c r="E1475" s="199"/>
      <c r="F1475" s="199"/>
      <c r="G1475" s="199"/>
      <c r="H1475" s="198"/>
      <c r="I1475" s="504"/>
      <c r="J1475" s="42"/>
      <c r="K1475" s="42"/>
      <c r="L1475" s="42"/>
    </row>
    <row r="1476" spans="1:12" ht="18.75" customHeight="1" x14ac:dyDescent="0.25">
      <c r="A1476" s="132"/>
      <c r="B1476" s="199"/>
      <c r="C1476" s="199"/>
      <c r="D1476" s="199"/>
      <c r="E1476" s="199"/>
      <c r="F1476" s="199"/>
      <c r="G1476" s="199"/>
      <c r="H1476" s="198"/>
      <c r="I1476" s="504"/>
      <c r="J1476" s="42"/>
      <c r="K1476" s="42"/>
      <c r="L1476" s="42"/>
    </row>
    <row r="1477" spans="1:12" ht="18.75" customHeight="1" x14ac:dyDescent="0.25">
      <c r="A1477" s="132" t="s">
        <v>673</v>
      </c>
      <c r="B1477" s="332" t="s">
        <v>674</v>
      </c>
      <c r="C1477" s="199"/>
      <c r="D1477" s="199"/>
      <c r="E1477" s="199"/>
      <c r="F1477" s="199"/>
      <c r="G1477" s="199"/>
      <c r="H1477" s="198"/>
      <c r="I1477" s="504"/>
      <c r="J1477" s="42"/>
      <c r="K1477" s="42"/>
      <c r="L1477" s="42"/>
    </row>
    <row r="1478" spans="1:12" ht="18.75" customHeight="1" x14ac:dyDescent="0.25">
      <c r="A1478" s="132"/>
      <c r="B1478" s="199"/>
      <c r="C1478" s="199"/>
      <c r="D1478" s="199"/>
      <c r="E1478" s="199"/>
      <c r="F1478" s="199"/>
      <c r="G1478" s="199"/>
      <c r="H1478" s="198"/>
      <c r="I1478" s="504"/>
      <c r="J1478" s="42"/>
      <c r="K1478" s="42"/>
      <c r="L1478" s="42"/>
    </row>
    <row r="1479" spans="1:12" ht="18.75" customHeight="1" x14ac:dyDescent="0.25">
      <c r="A1479" s="132"/>
      <c r="B1479" s="199"/>
      <c r="C1479" s="199"/>
      <c r="D1479" s="199"/>
      <c r="E1479" s="199"/>
      <c r="F1479" s="199"/>
      <c r="G1479" s="199"/>
      <c r="H1479" s="198"/>
      <c r="I1479" s="504"/>
      <c r="J1479" s="42"/>
      <c r="K1479" s="42"/>
      <c r="L1479" s="42"/>
    </row>
    <row r="1480" spans="1:12" ht="18.75" customHeight="1" x14ac:dyDescent="0.25">
      <c r="A1480" s="132"/>
      <c r="B1480" s="199"/>
      <c r="C1480" s="199"/>
      <c r="D1480" s="199"/>
      <c r="E1480" s="199"/>
      <c r="F1480" s="199"/>
      <c r="G1480" s="199"/>
      <c r="H1480" s="198"/>
      <c r="I1480" s="504"/>
      <c r="J1480" s="42"/>
      <c r="K1480" s="42"/>
      <c r="L1480" s="42"/>
    </row>
    <row r="1481" spans="1:12" ht="18.75" customHeight="1" x14ac:dyDescent="0.25">
      <c r="A1481" s="132"/>
      <c r="B1481" s="199"/>
      <c r="C1481" s="199"/>
      <c r="D1481" s="199"/>
      <c r="E1481" s="199"/>
      <c r="F1481" s="199"/>
      <c r="G1481" s="199"/>
      <c r="H1481" s="198"/>
      <c r="I1481" s="504"/>
      <c r="J1481" s="42"/>
      <c r="K1481" s="42"/>
      <c r="L1481" s="42"/>
    </row>
    <row r="1482" spans="1:12" ht="18.75" customHeight="1" x14ac:dyDescent="0.25">
      <c r="A1482" s="132"/>
      <c r="B1482" s="199"/>
      <c r="C1482" s="199"/>
      <c r="D1482" s="199"/>
      <c r="E1482" s="199"/>
      <c r="F1482" s="199"/>
      <c r="G1482" s="199"/>
      <c r="H1482" s="198"/>
      <c r="I1482" s="504"/>
      <c r="J1482" s="42"/>
      <c r="K1482" s="42"/>
      <c r="L1482" s="42"/>
    </row>
    <row r="1483" spans="1:12" ht="18.75" customHeight="1" x14ac:dyDescent="0.25">
      <c r="A1483" s="132"/>
      <c r="B1483" s="199"/>
      <c r="C1483" s="199"/>
      <c r="D1483" s="199"/>
      <c r="E1483" s="199"/>
      <c r="F1483" s="199"/>
      <c r="G1483" s="199"/>
      <c r="H1483" s="198"/>
      <c r="I1483" s="504"/>
      <c r="J1483" s="42"/>
      <c r="K1483" s="42"/>
      <c r="L1483" s="42"/>
    </row>
    <row r="1484" spans="1:12" ht="18.75" customHeight="1" x14ac:dyDescent="0.25">
      <c r="A1484" s="132"/>
      <c r="B1484" s="199"/>
      <c r="C1484" s="199"/>
      <c r="D1484" s="199"/>
      <c r="E1484" s="199"/>
      <c r="F1484" s="199"/>
      <c r="G1484" s="199"/>
      <c r="H1484" s="198"/>
      <c r="I1484" s="504"/>
      <c r="J1484" s="42"/>
      <c r="K1484" s="42"/>
      <c r="L1484" s="42"/>
    </row>
    <row r="1485" spans="1:12" ht="18.75" customHeight="1" x14ac:dyDescent="0.25">
      <c r="A1485" s="132"/>
      <c r="B1485" s="199"/>
      <c r="C1485" s="199"/>
      <c r="D1485" s="199"/>
      <c r="E1485" s="199"/>
      <c r="F1485" s="199"/>
      <c r="G1485" s="199"/>
      <c r="H1485" s="198"/>
      <c r="I1485" s="504"/>
      <c r="J1485" s="42"/>
      <c r="K1485" s="42"/>
      <c r="L1485" s="42"/>
    </row>
    <row r="1486" spans="1:12" ht="18.75" customHeight="1" x14ac:dyDescent="0.25">
      <c r="A1486" s="132"/>
      <c r="B1486" s="199"/>
      <c r="C1486" s="199"/>
      <c r="D1486" s="199"/>
      <c r="E1486" s="199"/>
      <c r="F1486" s="199"/>
      <c r="G1486" s="199"/>
      <c r="H1486" s="198"/>
      <c r="I1486" s="504"/>
      <c r="J1486" s="42"/>
      <c r="K1486" s="42"/>
      <c r="L1486" s="42"/>
    </row>
    <row r="1487" spans="1:12" ht="18.75" customHeight="1" x14ac:dyDescent="0.25">
      <c r="A1487" s="132"/>
      <c r="B1487" s="199" t="s">
        <v>235</v>
      </c>
      <c r="C1487" s="199"/>
      <c r="D1487" s="199"/>
      <c r="E1487" s="199"/>
      <c r="F1487" s="199"/>
      <c r="G1487" s="198" t="s">
        <v>374</v>
      </c>
      <c r="H1487" s="174">
        <f>'Process (5)'!H127</f>
        <v>7579.4128750556474</v>
      </c>
      <c r="I1487" s="504" t="s">
        <v>40</v>
      </c>
      <c r="J1487" s="42"/>
      <c r="K1487" s="42"/>
      <c r="L1487" s="42"/>
    </row>
    <row r="1488" spans="1:12" ht="18.75" customHeight="1" x14ac:dyDescent="0.25">
      <c r="A1488" s="132"/>
      <c r="B1488" s="281" t="s">
        <v>139</v>
      </c>
      <c r="C1488" s="281"/>
      <c r="D1488" s="281"/>
      <c r="E1488" s="281"/>
      <c r="F1488" s="281"/>
      <c r="G1488" s="251" t="s">
        <v>146</v>
      </c>
      <c r="H1488" s="148">
        <f>'Process (5)'!H128</f>
        <v>3611.0400000000013</v>
      </c>
      <c r="I1488" s="501" t="s">
        <v>42</v>
      </c>
      <c r="J1488" s="42"/>
      <c r="K1488" s="42"/>
      <c r="L1488" s="42"/>
    </row>
    <row r="1489" spans="1:12" ht="18.75" customHeight="1" x14ac:dyDescent="0.25">
      <c r="A1489" s="132"/>
      <c r="B1489" s="281" t="s">
        <v>385</v>
      </c>
      <c r="C1489" s="281"/>
      <c r="D1489" s="281"/>
      <c r="E1489" s="281"/>
      <c r="F1489" s="281"/>
      <c r="G1489" s="251" t="s">
        <v>928</v>
      </c>
      <c r="H1489" s="148">
        <f>'Process (5)'!H129</f>
        <v>2806.0800000000008</v>
      </c>
      <c r="I1489" s="501" t="s">
        <v>42</v>
      </c>
      <c r="J1489" s="42"/>
      <c r="K1489" s="42"/>
      <c r="L1489" s="42"/>
    </row>
    <row r="1490" spans="1:12" ht="18.75" customHeight="1" x14ac:dyDescent="0.25">
      <c r="A1490" s="132"/>
      <c r="B1490" s="281" t="s">
        <v>447</v>
      </c>
      <c r="C1490" s="281"/>
      <c r="D1490" s="281"/>
      <c r="E1490" s="281"/>
      <c r="F1490" s="281"/>
      <c r="G1490" s="432" t="s">
        <v>449</v>
      </c>
      <c r="H1490" s="148">
        <f>'Process (5)'!H130</f>
        <v>995.30000000000007</v>
      </c>
      <c r="I1490" s="501" t="s">
        <v>42</v>
      </c>
      <c r="J1490" s="42"/>
      <c r="K1490" s="42"/>
      <c r="L1490" s="42"/>
    </row>
    <row r="1491" spans="1:12" ht="18.75" customHeight="1" x14ac:dyDescent="0.25">
      <c r="A1491" s="132"/>
      <c r="B1491" s="281" t="s">
        <v>1135</v>
      </c>
      <c r="C1491" s="281"/>
      <c r="D1491" s="281"/>
      <c r="E1491" s="281"/>
      <c r="F1491" s="281"/>
      <c r="G1491" s="432" t="s">
        <v>1136</v>
      </c>
      <c r="H1491" s="148">
        <f>'Process (5)'!H131</f>
        <v>4182.8500000000004</v>
      </c>
      <c r="I1491" s="501" t="s">
        <v>42</v>
      </c>
      <c r="J1491" s="42"/>
      <c r="K1491" s="42"/>
      <c r="L1491" s="42"/>
    </row>
    <row r="1492" spans="1:12" ht="18.75" customHeight="1" x14ac:dyDescent="0.25">
      <c r="A1492" s="132"/>
      <c r="B1492" s="42" t="s">
        <v>78</v>
      </c>
      <c r="C1492" s="281"/>
      <c r="D1492" s="281"/>
      <c r="E1492" s="281"/>
      <c r="F1492" s="281"/>
      <c r="G1492" s="432" t="s">
        <v>132</v>
      </c>
      <c r="H1492" s="148">
        <f>'Process (5)'!H132</f>
        <v>0.70798904311236122</v>
      </c>
      <c r="I1492" s="501"/>
      <c r="J1492" s="42"/>
      <c r="K1492" s="42"/>
      <c r="L1492" s="42"/>
    </row>
    <row r="1493" spans="1:12" ht="18.75" customHeight="1" x14ac:dyDescent="0.25">
      <c r="A1493" s="132"/>
      <c r="B1493" s="199" t="s">
        <v>383</v>
      </c>
      <c r="C1493" s="199"/>
      <c r="D1493" s="199"/>
      <c r="E1493" s="199"/>
      <c r="F1493" s="199"/>
      <c r="G1493" s="198" t="s">
        <v>108</v>
      </c>
      <c r="H1493" s="177">
        <f>'Process (5)'!H133</f>
        <v>0.75230000000000019</v>
      </c>
      <c r="I1493" s="504" t="s">
        <v>127</v>
      </c>
      <c r="J1493" s="42"/>
      <c r="K1493" s="42"/>
      <c r="L1493" s="42"/>
    </row>
    <row r="1494" spans="1:12" ht="18.75" customHeight="1" x14ac:dyDescent="0.25">
      <c r="A1494" s="132"/>
      <c r="B1494" s="199" t="s">
        <v>386</v>
      </c>
      <c r="C1494" s="199"/>
      <c r="D1494" s="199"/>
      <c r="E1494" s="199"/>
      <c r="F1494" s="199"/>
      <c r="G1494" s="198" t="s">
        <v>120</v>
      </c>
      <c r="H1494" s="170">
        <f>'Process (5)'!H134</f>
        <v>1.0797449324394672</v>
      </c>
      <c r="I1494" s="504" t="s">
        <v>127</v>
      </c>
      <c r="J1494" s="42"/>
      <c r="K1494" s="42"/>
      <c r="L1494" s="42"/>
    </row>
    <row r="1495" spans="1:12" ht="18.75" customHeight="1" x14ac:dyDescent="0.25">
      <c r="A1495" s="132"/>
      <c r="B1495" s="199" t="s">
        <v>387</v>
      </c>
      <c r="C1495" s="199"/>
      <c r="D1495" s="199"/>
      <c r="E1495" s="199"/>
      <c r="F1495" s="199"/>
      <c r="G1495" s="198" t="s">
        <v>985</v>
      </c>
      <c r="H1495" s="170">
        <f>'Process (5)'!H135</f>
        <v>0.97017846692262921</v>
      </c>
      <c r="I1495" s="504" t="s">
        <v>2</v>
      </c>
      <c r="J1495" s="42"/>
      <c r="K1495" s="42"/>
      <c r="L1495" s="42"/>
    </row>
    <row r="1496" spans="1:12" ht="18.75" customHeight="1" x14ac:dyDescent="0.25">
      <c r="A1496" s="132"/>
      <c r="B1496" s="199"/>
      <c r="C1496" s="199"/>
      <c r="D1496" s="199"/>
      <c r="E1496" s="199"/>
      <c r="F1496" s="199"/>
      <c r="G1496" s="198" t="s">
        <v>437</v>
      </c>
      <c r="H1496" s="170">
        <f>'Process (5)'!H136</f>
        <v>1.3798215330773709</v>
      </c>
      <c r="I1496" s="504" t="s">
        <v>2</v>
      </c>
      <c r="J1496" s="42"/>
      <c r="K1496" s="42"/>
      <c r="L1496" s="42"/>
    </row>
    <row r="1497" spans="1:12" ht="18.75" customHeight="1" x14ac:dyDescent="0.25">
      <c r="A1497" s="132"/>
      <c r="B1497" s="199" t="s">
        <v>105</v>
      </c>
      <c r="C1497" s="199"/>
      <c r="D1497" s="199"/>
      <c r="E1497" s="199"/>
      <c r="F1497" s="199"/>
      <c r="G1497" s="198" t="s">
        <v>659</v>
      </c>
      <c r="H1497" s="170">
        <f>'Process (5)'!H137</f>
        <v>0.77450101515990732</v>
      </c>
      <c r="I1497" s="504" t="s">
        <v>129</v>
      </c>
      <c r="J1497" s="42"/>
      <c r="K1497" s="42"/>
      <c r="L1497" s="42"/>
    </row>
    <row r="1498" spans="1:12" ht="18.75" customHeight="1" x14ac:dyDescent="0.25">
      <c r="A1498" s="132"/>
      <c r="B1498" s="199"/>
      <c r="C1498" s="199"/>
      <c r="D1498" s="199"/>
      <c r="E1498" s="199"/>
      <c r="F1498" s="199"/>
      <c r="G1498" s="198" t="s">
        <v>660</v>
      </c>
      <c r="H1498" s="170">
        <f>'Process (5)'!H138</f>
        <v>1.0433583368976016</v>
      </c>
      <c r="I1498" s="504" t="s">
        <v>129</v>
      </c>
      <c r="J1498" s="42"/>
      <c r="K1498" s="42"/>
      <c r="L1498" s="42"/>
    </row>
    <row r="1499" spans="1:12" ht="18.75" customHeight="1" x14ac:dyDescent="0.25">
      <c r="A1499" s="132"/>
      <c r="B1499" s="199" t="s">
        <v>106</v>
      </c>
      <c r="C1499" s="199"/>
      <c r="D1499" s="199"/>
      <c r="E1499" s="199"/>
      <c r="F1499" s="199"/>
      <c r="G1499" s="198" t="s">
        <v>986</v>
      </c>
      <c r="H1499" s="170">
        <f>'Process (5)'!H139</f>
        <v>0.54456622795415188</v>
      </c>
      <c r="I1499" s="504" t="s">
        <v>129</v>
      </c>
      <c r="J1499" s="42"/>
      <c r="K1499" s="42"/>
      <c r="L1499" s="42"/>
    </row>
    <row r="1500" spans="1:12" ht="18.75" customHeight="1" x14ac:dyDescent="0.25">
      <c r="A1500" s="132"/>
      <c r="B1500" s="281" t="s">
        <v>258</v>
      </c>
      <c r="C1500" s="281"/>
      <c r="D1500" s="281"/>
      <c r="E1500" s="281"/>
      <c r="F1500" s="281"/>
      <c r="G1500" s="282" t="s">
        <v>204</v>
      </c>
      <c r="H1500" s="170">
        <f>'Process (5)'!H140</f>
        <v>0.81195046302450269</v>
      </c>
      <c r="I1500" s="505" t="s">
        <v>2</v>
      </c>
      <c r="J1500" s="42"/>
      <c r="K1500" s="42"/>
      <c r="L1500" s="42"/>
    </row>
    <row r="1501" spans="1:12" ht="18.75" customHeight="1" x14ac:dyDescent="0.25">
      <c r="A1501" s="132"/>
      <c r="B1501" s="199" t="s">
        <v>141</v>
      </c>
      <c r="C1501" s="199"/>
      <c r="D1501" s="199"/>
      <c r="E1501" s="199"/>
      <c r="F1501" s="199"/>
      <c r="G1501" s="198" t="s">
        <v>1138</v>
      </c>
      <c r="H1501" s="174">
        <f>'Process (5)'!H141</f>
        <v>-3.9687373026375385</v>
      </c>
      <c r="I1501" s="504" t="s">
        <v>28</v>
      </c>
      <c r="J1501" s="42"/>
      <c r="K1501" s="42"/>
      <c r="L1501" s="42"/>
    </row>
    <row r="1502" spans="1:12" ht="18.75" customHeight="1" x14ac:dyDescent="0.25">
      <c r="A1502" s="132"/>
      <c r="B1502" s="199"/>
      <c r="C1502" s="199"/>
      <c r="D1502" s="199"/>
      <c r="E1502" s="199"/>
      <c r="F1502" s="199"/>
      <c r="G1502" s="567" t="s">
        <v>1277</v>
      </c>
      <c r="H1502" s="174">
        <f>'Process (5)'!H142</f>
        <v>-14.927398893749373</v>
      </c>
      <c r="I1502" s="504" t="s">
        <v>28</v>
      </c>
      <c r="J1502" s="42"/>
      <c r="K1502" s="42"/>
      <c r="L1502" s="42"/>
    </row>
    <row r="1503" spans="1:12" ht="18.75" customHeight="1" x14ac:dyDescent="0.25">
      <c r="A1503" s="132"/>
      <c r="B1503" s="199"/>
      <c r="C1503" s="199"/>
      <c r="D1503" s="199"/>
      <c r="E1503" s="199"/>
      <c r="F1503" s="199"/>
      <c r="G1503" s="198" t="s">
        <v>1137</v>
      </c>
      <c r="H1503" s="174">
        <f>'Process (5)'!H143</f>
        <v>-2.9460550235651564</v>
      </c>
      <c r="I1503" s="504" t="s">
        <v>28</v>
      </c>
      <c r="J1503" s="42"/>
      <c r="K1503" s="42"/>
      <c r="L1503" s="42"/>
    </row>
    <row r="1504" spans="1:12" ht="18.75" customHeight="1" x14ac:dyDescent="0.25">
      <c r="A1504" s="132"/>
      <c r="B1504" s="199" t="s">
        <v>142</v>
      </c>
      <c r="C1504" s="199"/>
      <c r="D1504" s="199"/>
      <c r="E1504" s="199"/>
      <c r="F1504" s="199"/>
      <c r="G1504" s="199"/>
      <c r="H1504" s="198"/>
      <c r="I1504" s="504"/>
      <c r="J1504" s="42"/>
      <c r="K1504" s="42"/>
      <c r="L1504" s="42"/>
    </row>
    <row r="1505" spans="1:12" ht="18.75" customHeight="1" x14ac:dyDescent="0.25">
      <c r="A1505" s="132"/>
      <c r="B1505" s="199"/>
      <c r="C1505" s="199"/>
      <c r="D1505" s="199"/>
      <c r="E1505" s="199"/>
      <c r="F1505" s="199"/>
      <c r="G1505" s="198" t="s">
        <v>1140</v>
      </c>
      <c r="H1505" s="174">
        <f>'Process (5)'!H145</f>
        <v>-1.4595340741978857</v>
      </c>
      <c r="I1505" s="504" t="s">
        <v>28</v>
      </c>
      <c r="J1505" s="42"/>
      <c r="K1505" s="42"/>
      <c r="L1505" s="42"/>
    </row>
    <row r="1506" spans="1:12" ht="18.75" customHeight="1" x14ac:dyDescent="0.25">
      <c r="A1506" s="132"/>
      <c r="B1506" s="199"/>
      <c r="C1506" s="199"/>
      <c r="D1506" s="199"/>
      <c r="E1506" s="199"/>
      <c r="F1506" s="199"/>
      <c r="G1506" s="199"/>
      <c r="H1506" s="198"/>
      <c r="I1506" s="504"/>
      <c r="J1506" s="42"/>
      <c r="K1506" s="42"/>
      <c r="L1506" s="42"/>
    </row>
    <row r="1507" spans="1:12" ht="18.75" customHeight="1" x14ac:dyDescent="0.25">
      <c r="A1507" s="132"/>
      <c r="B1507" s="199"/>
      <c r="C1507" s="199"/>
      <c r="D1507" s="199"/>
      <c r="E1507" s="199"/>
      <c r="F1507" s="199"/>
      <c r="G1507" s="199"/>
      <c r="H1507" s="198"/>
      <c r="I1507" s="504"/>
      <c r="J1507" s="42"/>
      <c r="K1507" s="42"/>
      <c r="L1507" s="42"/>
    </row>
    <row r="1508" spans="1:12" ht="18.75" customHeight="1" x14ac:dyDescent="0.25">
      <c r="A1508" s="132"/>
      <c r="B1508" s="199"/>
      <c r="C1508" s="199"/>
      <c r="D1508" s="199"/>
      <c r="E1508" s="199"/>
      <c r="F1508" s="199"/>
      <c r="G1508" s="199"/>
      <c r="H1508" s="198"/>
      <c r="I1508" s="504"/>
      <c r="J1508" s="42"/>
      <c r="K1508" s="42"/>
      <c r="L1508" s="42"/>
    </row>
    <row r="1509" spans="1:12" ht="18.75" customHeight="1" x14ac:dyDescent="0.25">
      <c r="A1509" s="132"/>
      <c r="B1509" s="199"/>
      <c r="C1509" s="199"/>
      <c r="D1509" s="199"/>
      <c r="E1509" s="199"/>
      <c r="F1509" s="199"/>
      <c r="G1509" s="199"/>
      <c r="H1509" s="198"/>
      <c r="I1509" s="504"/>
      <c r="J1509" s="42"/>
      <c r="K1509" s="42"/>
      <c r="L1509" s="42"/>
    </row>
    <row r="1510" spans="1:12" ht="18.75" customHeight="1" x14ac:dyDescent="0.25">
      <c r="A1510" s="132"/>
      <c r="B1510" s="199"/>
      <c r="C1510" s="199"/>
      <c r="D1510" s="199"/>
      <c r="E1510" s="199"/>
      <c r="F1510" s="199"/>
      <c r="G1510" s="199"/>
      <c r="H1510" s="198"/>
      <c r="I1510" s="504"/>
      <c r="J1510" s="42"/>
      <c r="K1510" s="42"/>
      <c r="L1510" s="42"/>
    </row>
    <row r="1511" spans="1:12" ht="18.75" customHeight="1" x14ac:dyDescent="0.25">
      <c r="A1511" s="132"/>
      <c r="B1511" s="199"/>
      <c r="C1511" s="199"/>
      <c r="D1511" s="199"/>
      <c r="E1511" s="199"/>
      <c r="F1511" s="199"/>
      <c r="G1511" s="199"/>
      <c r="H1511" s="198"/>
      <c r="I1511" s="504"/>
      <c r="J1511" s="42"/>
      <c r="K1511" s="42"/>
      <c r="L1511" s="42"/>
    </row>
    <row r="1512" spans="1:12" ht="18.75" customHeight="1" x14ac:dyDescent="0.25">
      <c r="A1512" s="132"/>
      <c r="B1512" s="199"/>
      <c r="C1512" s="199"/>
      <c r="D1512" s="199"/>
      <c r="E1512" s="199"/>
      <c r="F1512" s="199"/>
      <c r="G1512" s="199"/>
      <c r="H1512" s="198"/>
      <c r="I1512" s="504"/>
      <c r="J1512" s="42"/>
      <c r="K1512" s="42"/>
      <c r="L1512" s="42"/>
    </row>
    <row r="1513" spans="1:12" ht="18.75" customHeight="1" x14ac:dyDescent="0.25">
      <c r="A1513" s="132"/>
      <c r="B1513" s="199"/>
      <c r="C1513" s="199"/>
      <c r="D1513" s="199"/>
      <c r="E1513" s="199"/>
      <c r="F1513" s="199"/>
      <c r="G1513" s="199"/>
      <c r="H1513" s="198"/>
      <c r="I1513" s="504"/>
      <c r="J1513" s="42"/>
      <c r="K1513" s="42"/>
      <c r="L1513" s="42"/>
    </row>
    <row r="1514" spans="1:12" ht="18.75" customHeight="1" x14ac:dyDescent="0.25">
      <c r="A1514" s="132" t="s">
        <v>675</v>
      </c>
      <c r="B1514" s="154" t="s">
        <v>676</v>
      </c>
      <c r="C1514" s="168"/>
      <c r="D1514" s="168"/>
      <c r="E1514" s="168"/>
      <c r="F1514" s="168"/>
      <c r="G1514" s="421"/>
      <c r="H1514" s="421"/>
      <c r="I1514" s="421"/>
      <c r="J1514" s="199"/>
      <c r="K1514" s="42"/>
      <c r="L1514" s="42"/>
    </row>
    <row r="1515" spans="1:12" ht="18.75" customHeight="1" x14ac:dyDescent="0.25">
      <c r="A1515" s="132"/>
      <c r="B1515" s="633" t="s">
        <v>393</v>
      </c>
      <c r="C1515" s="633"/>
      <c r="D1515" s="633"/>
      <c r="E1515" s="629" t="s">
        <v>390</v>
      </c>
      <c r="F1515" s="629"/>
      <c r="G1515" s="629"/>
      <c r="H1515" s="629"/>
      <c r="J1515" s="42"/>
      <c r="K1515" s="42"/>
      <c r="L1515" s="42"/>
    </row>
    <row r="1516" spans="1:12" ht="18.75" customHeight="1" x14ac:dyDescent="0.25">
      <c r="A1516" s="132"/>
      <c r="B1516" s="633" t="s">
        <v>392</v>
      </c>
      <c r="C1516" s="633"/>
      <c r="D1516" s="633"/>
      <c r="E1516" s="654" t="s">
        <v>391</v>
      </c>
      <c r="F1516" s="654"/>
      <c r="G1516" s="496" t="s">
        <v>388</v>
      </c>
      <c r="H1516" s="496" t="s">
        <v>389</v>
      </c>
      <c r="J1516" s="42"/>
      <c r="K1516" s="42"/>
      <c r="L1516" s="42"/>
    </row>
    <row r="1517" spans="1:12" ht="18.75" customHeight="1" x14ac:dyDescent="0.25">
      <c r="A1517" s="132"/>
      <c r="B1517" s="169" t="s">
        <v>646</v>
      </c>
      <c r="C1517" s="170">
        <f>'Process (5)'!O5</f>
        <v>1.0880495369754974</v>
      </c>
      <c r="D1517" s="171" t="s">
        <v>2</v>
      </c>
      <c r="E1517" s="647">
        <f>'Process (5)'!Q5</f>
        <v>-14.020991816603312</v>
      </c>
      <c r="F1517" s="647"/>
      <c r="G1517" s="497">
        <f>'Process (5)'!R5</f>
        <v>-24</v>
      </c>
      <c r="H1517" s="173" t="str">
        <f>'Process (5)'!S5</f>
        <v>[ OK ]</v>
      </c>
      <c r="J1517" s="42"/>
      <c r="K1517" s="42"/>
      <c r="L1517" s="42"/>
    </row>
    <row r="1518" spans="1:12" ht="18.75" customHeight="1" x14ac:dyDescent="0.25">
      <c r="A1518" s="132"/>
      <c r="B1518" s="169" t="s">
        <v>150</v>
      </c>
      <c r="C1518" s="170">
        <f>'Process (5)'!O6</f>
        <v>1.0119504630245026</v>
      </c>
      <c r="D1518" s="171" t="s">
        <v>2</v>
      </c>
      <c r="E1518" s="647">
        <f>'Process (5)'!Q6</f>
        <v>-12.372751413157271</v>
      </c>
      <c r="F1518" s="647"/>
      <c r="G1518" s="497">
        <f>'Process (5)'!R6</f>
        <v>-24</v>
      </c>
      <c r="H1518" s="173" t="str">
        <f>'Process (5)'!S6</f>
        <v>[ OK ]</v>
      </c>
      <c r="J1518" s="42"/>
      <c r="K1518" s="42"/>
      <c r="L1518" s="42"/>
    </row>
    <row r="1519" spans="1:12" ht="18.75" customHeight="1" x14ac:dyDescent="0.25">
      <c r="A1519" s="132"/>
      <c r="B1519" s="633" t="s">
        <v>392</v>
      </c>
      <c r="C1519" s="633"/>
      <c r="D1519" s="633"/>
      <c r="E1519" s="653" t="s">
        <v>394</v>
      </c>
      <c r="F1519" s="653"/>
      <c r="G1519" s="496" t="s">
        <v>388</v>
      </c>
      <c r="H1519" s="496" t="s">
        <v>389</v>
      </c>
      <c r="I1519" s="168"/>
      <c r="J1519" s="199"/>
      <c r="K1519" s="42"/>
      <c r="L1519" s="42"/>
    </row>
    <row r="1520" spans="1:12" ht="18.75" customHeight="1" x14ac:dyDescent="0.25">
      <c r="A1520" s="328"/>
      <c r="B1520" s="169" t="s">
        <v>646</v>
      </c>
      <c r="C1520" s="170">
        <f>C1517</f>
        <v>1.0880495369754974</v>
      </c>
      <c r="D1520" s="171" t="s">
        <v>2</v>
      </c>
      <c r="E1520" s="641">
        <f>'Process (5)'!T5</f>
        <v>-1.5193695500330178</v>
      </c>
      <c r="F1520" s="641"/>
      <c r="G1520" s="498">
        <f>'Process (5)'!U5</f>
        <v>-24</v>
      </c>
      <c r="H1520" s="171" t="str">
        <f>'Process (5)'!V5</f>
        <v>[ OK ]</v>
      </c>
      <c r="J1520" s="42"/>
      <c r="K1520" s="42"/>
      <c r="L1520" s="42"/>
    </row>
    <row r="1521" spans="1:12" ht="18.75" customHeight="1" x14ac:dyDescent="0.25">
      <c r="A1521" s="328"/>
      <c r="B1521" s="169" t="s">
        <v>150</v>
      </c>
      <c r="C1521" s="170">
        <f>C1518</f>
        <v>1.0119504630245026</v>
      </c>
      <c r="D1521" s="171" t="s">
        <v>2</v>
      </c>
      <c r="E1521" s="641">
        <f>'Process (5)'!T6</f>
        <v>-24.000000000000007</v>
      </c>
      <c r="F1521" s="641"/>
      <c r="G1521" s="498">
        <f>'Process (5)'!U6</f>
        <v>-24</v>
      </c>
      <c r="H1521" s="171" t="str">
        <f>'Process (5)'!V6</f>
        <v>[ OK ]</v>
      </c>
      <c r="J1521" s="42"/>
      <c r="K1521" s="42"/>
      <c r="L1521" s="42"/>
    </row>
    <row r="1522" spans="1:12" ht="18.75" customHeight="1" x14ac:dyDescent="0.25">
      <c r="A1522" s="328"/>
      <c r="J1522" s="42"/>
      <c r="K1522" s="42"/>
      <c r="L1522" s="42"/>
    </row>
    <row r="1523" spans="1:12" ht="18.75" customHeight="1" x14ac:dyDescent="0.25">
      <c r="A1523" s="328"/>
      <c r="B1523" s="633" t="s">
        <v>393</v>
      </c>
      <c r="C1523" s="633"/>
      <c r="D1523" s="633"/>
      <c r="E1523" s="629" t="s">
        <v>395</v>
      </c>
      <c r="F1523" s="629"/>
      <c r="G1523" s="629"/>
      <c r="H1523" s="629"/>
      <c r="J1523" s="42"/>
      <c r="K1523" s="42"/>
      <c r="L1523" s="42"/>
    </row>
    <row r="1524" spans="1:12" ht="18.75" customHeight="1" x14ac:dyDescent="0.25">
      <c r="A1524" s="328"/>
      <c r="B1524" s="633" t="s">
        <v>392</v>
      </c>
      <c r="C1524" s="633"/>
      <c r="D1524" s="633"/>
      <c r="E1524" s="654" t="s">
        <v>391</v>
      </c>
      <c r="F1524" s="654"/>
      <c r="G1524" s="496" t="s">
        <v>388</v>
      </c>
      <c r="H1524" s="496" t="s">
        <v>389</v>
      </c>
      <c r="J1524" s="42"/>
      <c r="K1524" s="42"/>
      <c r="L1524" s="42"/>
    </row>
    <row r="1525" spans="1:12" ht="18.75" customHeight="1" x14ac:dyDescent="0.25">
      <c r="A1525" s="328"/>
      <c r="B1525" s="169" t="s">
        <v>646</v>
      </c>
      <c r="C1525" s="170">
        <f>'Process (5)'!O10</f>
        <v>1.0880495369754974</v>
      </c>
      <c r="D1525" s="171" t="s">
        <v>2</v>
      </c>
      <c r="E1525" s="647">
        <f>'Process (5)'!Q10</f>
        <v>-10.728429667678991</v>
      </c>
      <c r="F1525" s="647"/>
      <c r="G1525" s="497">
        <f>'Process (5)'!R10</f>
        <v>-22.5</v>
      </c>
      <c r="H1525" s="173" t="str">
        <f>'Process (5)'!S10</f>
        <v>[ OK ]</v>
      </c>
      <c r="J1525" s="42"/>
      <c r="K1525" s="42"/>
      <c r="L1525" s="42"/>
    </row>
    <row r="1526" spans="1:12" ht="18.75" customHeight="1" x14ac:dyDescent="0.25">
      <c r="A1526" s="328"/>
      <c r="B1526" s="169" t="s">
        <v>150</v>
      </c>
      <c r="C1526" s="170">
        <f>'Process (5)'!O11</f>
        <v>1.0119504630245026</v>
      </c>
      <c r="D1526" s="171" t="s">
        <v>2</v>
      </c>
      <c r="E1526" s="647">
        <f>'Process (5)'!Q11</f>
        <v>-9.467247044146049</v>
      </c>
      <c r="F1526" s="647"/>
      <c r="G1526" s="497">
        <f>'Process (5)'!R11</f>
        <v>-22.5</v>
      </c>
      <c r="H1526" s="173" t="str">
        <f>'Process (5)'!S11</f>
        <v>[ OK ]</v>
      </c>
      <c r="J1526" s="42"/>
      <c r="K1526" s="42"/>
      <c r="L1526" s="42"/>
    </row>
    <row r="1527" spans="1:12" ht="18.75" customHeight="1" x14ac:dyDescent="0.25">
      <c r="A1527" s="328"/>
      <c r="B1527" s="633" t="s">
        <v>392</v>
      </c>
      <c r="C1527" s="633"/>
      <c r="D1527" s="633"/>
      <c r="E1527" s="653" t="s">
        <v>394</v>
      </c>
      <c r="F1527" s="653"/>
      <c r="G1527" s="496" t="s">
        <v>388</v>
      </c>
      <c r="H1527" s="496" t="s">
        <v>389</v>
      </c>
      <c r="J1527" s="42"/>
      <c r="K1527" s="42"/>
      <c r="L1527" s="42"/>
    </row>
    <row r="1528" spans="1:12" ht="18.75" customHeight="1" x14ac:dyDescent="0.25">
      <c r="A1528" s="328"/>
      <c r="B1528" s="169" t="s">
        <v>646</v>
      </c>
      <c r="C1528" s="170">
        <f>C1525</f>
        <v>1.0880495369754974</v>
      </c>
      <c r="D1528" s="171" t="s">
        <v>2</v>
      </c>
      <c r="E1528" s="641">
        <f>'Process (5)'!T10</f>
        <v>-3.3912583082419423</v>
      </c>
      <c r="F1528" s="641"/>
      <c r="G1528" s="498">
        <f>'Process (5)'!U10</f>
        <v>-22.5</v>
      </c>
      <c r="H1528" s="171" t="str">
        <f>'Process (5)'!V10</f>
        <v>[ OK ]</v>
      </c>
      <c r="J1528" s="42"/>
      <c r="K1528" s="42"/>
      <c r="L1528" s="42"/>
    </row>
    <row r="1529" spans="1:12" ht="18.75" customHeight="1" x14ac:dyDescent="0.25">
      <c r="A1529" s="328"/>
      <c r="B1529" s="169" t="s">
        <v>150</v>
      </c>
      <c r="C1529" s="170">
        <f>C1526</f>
        <v>1.0119504630245026</v>
      </c>
      <c r="D1529" s="171" t="s">
        <v>2</v>
      </c>
      <c r="E1529" s="641">
        <f>'Process (5)'!T11</f>
        <v>-16.29125064154811</v>
      </c>
      <c r="F1529" s="641"/>
      <c r="G1529" s="498">
        <f>'Process (5)'!U11</f>
        <v>-22.5</v>
      </c>
      <c r="H1529" s="171" t="str">
        <f>'Process (5)'!V11</f>
        <v>[ OK ]</v>
      </c>
      <c r="J1529" s="42"/>
      <c r="K1529" s="42"/>
      <c r="L1529" s="42"/>
    </row>
    <row r="1530" spans="1:12" ht="18.75" customHeight="1" x14ac:dyDescent="0.25">
      <c r="A1530" s="328"/>
      <c r="J1530" s="42"/>
      <c r="K1530" s="42"/>
      <c r="L1530" s="42"/>
    </row>
    <row r="1531" spans="1:12" ht="18.75" customHeight="1" x14ac:dyDescent="0.25">
      <c r="A1531" s="328"/>
      <c r="B1531" s="633" t="s">
        <v>393</v>
      </c>
      <c r="C1531" s="633"/>
      <c r="D1531" s="633"/>
      <c r="E1531" s="629" t="s">
        <v>396</v>
      </c>
      <c r="F1531" s="629"/>
      <c r="G1531" s="629"/>
      <c r="H1531" s="629"/>
      <c r="J1531" s="42"/>
      <c r="K1531" s="42"/>
      <c r="L1531" s="42"/>
    </row>
    <row r="1532" spans="1:12" ht="18.75" customHeight="1" x14ac:dyDescent="0.25">
      <c r="A1532" s="328"/>
      <c r="B1532" s="633" t="s">
        <v>392</v>
      </c>
      <c r="C1532" s="633"/>
      <c r="D1532" s="633"/>
      <c r="E1532" s="654" t="s">
        <v>391</v>
      </c>
      <c r="F1532" s="654"/>
      <c r="G1532" s="496" t="s">
        <v>388</v>
      </c>
      <c r="H1532" s="496" t="s">
        <v>389</v>
      </c>
      <c r="J1532" s="42"/>
      <c r="K1532" s="42"/>
      <c r="L1532" s="42"/>
    </row>
    <row r="1533" spans="1:12" ht="18.75" customHeight="1" x14ac:dyDescent="0.25">
      <c r="A1533" s="328"/>
      <c r="B1533" s="169" t="s">
        <v>646</v>
      </c>
      <c r="C1533" s="170">
        <f>'Process (5)'!O15</f>
        <v>1.0880495369754974</v>
      </c>
      <c r="D1533" s="171" t="s">
        <v>2</v>
      </c>
      <c r="E1533" s="647">
        <f>'Process (5)'!Q15</f>
        <v>-10.728429667678991</v>
      </c>
      <c r="F1533" s="647"/>
      <c r="G1533" s="497">
        <f>'Process (5)'!R15</f>
        <v>-22.5</v>
      </c>
      <c r="H1533" s="173" t="str">
        <f>'Process (5)'!S15</f>
        <v>[ OK ]</v>
      </c>
      <c r="J1533" s="42"/>
      <c r="K1533" s="42"/>
      <c r="L1533" s="42"/>
    </row>
    <row r="1534" spans="1:12" ht="18.75" customHeight="1" x14ac:dyDescent="0.25">
      <c r="A1534" s="328"/>
      <c r="B1534" s="169" t="s">
        <v>150</v>
      </c>
      <c r="C1534" s="170">
        <f>'Process (5)'!O16</f>
        <v>1.0119504630245026</v>
      </c>
      <c r="D1534" s="171" t="s">
        <v>2</v>
      </c>
      <c r="E1534" s="647">
        <f>'Process (5)'!Q16</f>
        <v>-9.467247044146049</v>
      </c>
      <c r="F1534" s="647"/>
      <c r="G1534" s="497">
        <f>'Process (5)'!R16</f>
        <v>-22.5</v>
      </c>
      <c r="H1534" s="173" t="str">
        <f>'Process (5)'!S16</f>
        <v>[ OK ]</v>
      </c>
      <c r="J1534" s="42"/>
      <c r="K1534" s="42"/>
      <c r="L1534" s="42"/>
    </row>
    <row r="1535" spans="1:12" ht="18.75" customHeight="1" x14ac:dyDescent="0.25">
      <c r="A1535" s="328"/>
      <c r="B1535" s="633" t="s">
        <v>392</v>
      </c>
      <c r="C1535" s="633"/>
      <c r="D1535" s="633"/>
      <c r="E1535" s="653" t="s">
        <v>394</v>
      </c>
      <c r="F1535" s="653"/>
      <c r="G1535" s="496" t="s">
        <v>388</v>
      </c>
      <c r="H1535" s="496" t="s">
        <v>389</v>
      </c>
      <c r="J1535" s="42"/>
      <c r="K1535" s="42"/>
      <c r="L1535" s="42"/>
    </row>
    <row r="1536" spans="1:12" ht="18.75" customHeight="1" x14ac:dyDescent="0.25">
      <c r="A1536" s="328"/>
      <c r="B1536" s="169" t="s">
        <v>646</v>
      </c>
      <c r="C1536" s="170">
        <f>C1533</f>
        <v>1.0880495369754974</v>
      </c>
      <c r="D1536" s="171" t="s">
        <v>2</v>
      </c>
      <c r="E1536" s="641">
        <f>'Process (5)'!T15</f>
        <v>-10.766239830306631</v>
      </c>
      <c r="F1536" s="641"/>
      <c r="G1536" s="498">
        <f>'Process (5)'!U15</f>
        <v>-22.5</v>
      </c>
      <c r="H1536" s="171" t="str">
        <f>'Process (5)'!V15</f>
        <v>[ OK ]</v>
      </c>
      <c r="J1536" s="42"/>
      <c r="K1536" s="42"/>
      <c r="L1536" s="42"/>
    </row>
    <row r="1537" spans="1:12" ht="18.75" customHeight="1" x14ac:dyDescent="0.25">
      <c r="A1537" s="328"/>
      <c r="B1537" s="169" t="s">
        <v>150</v>
      </c>
      <c r="C1537" s="170">
        <f>C1534</f>
        <v>1.0119504630245026</v>
      </c>
      <c r="D1537" s="171" t="s">
        <v>2</v>
      </c>
      <c r="E1537" s="641">
        <f>'Process (5)'!T16</f>
        <v>-9.4320813551973366</v>
      </c>
      <c r="F1537" s="641"/>
      <c r="G1537" s="498">
        <f>'Process (5)'!U16</f>
        <v>-22.5</v>
      </c>
      <c r="H1537" s="171" t="str">
        <f>'Process (5)'!V16</f>
        <v>[ OK ]</v>
      </c>
      <c r="J1537" s="42"/>
      <c r="K1537" s="42"/>
      <c r="L1537" s="42"/>
    </row>
    <row r="1538" spans="1:12" ht="18.75" customHeight="1" x14ac:dyDescent="0.25">
      <c r="A1538" s="328"/>
      <c r="J1538" s="42"/>
      <c r="K1538" s="42"/>
      <c r="L1538" s="42"/>
    </row>
    <row r="1539" spans="1:12" ht="18.75" customHeight="1" x14ac:dyDescent="0.25">
      <c r="A1539" s="328"/>
      <c r="J1539" s="42"/>
      <c r="K1539" s="42"/>
      <c r="L1539" s="42"/>
    </row>
    <row r="1540" spans="1:12" ht="18.75" customHeight="1" x14ac:dyDescent="0.25">
      <c r="A1540" s="328"/>
      <c r="J1540" s="42"/>
      <c r="K1540" s="42"/>
      <c r="L1540" s="42"/>
    </row>
    <row r="1541" spans="1:12" ht="18.75" customHeight="1" x14ac:dyDescent="0.25">
      <c r="A1541" s="328"/>
      <c r="J1541" s="42"/>
      <c r="K1541" s="42"/>
      <c r="L1541" s="42"/>
    </row>
    <row r="1542" spans="1:12" ht="18.75" customHeight="1" x14ac:dyDescent="0.25">
      <c r="A1542" s="328"/>
      <c r="J1542" s="42"/>
      <c r="K1542" s="42"/>
      <c r="L1542" s="42"/>
    </row>
    <row r="1543" spans="1:12" ht="18.75" customHeight="1" x14ac:dyDescent="0.25">
      <c r="A1543" s="328"/>
      <c r="J1543" s="42"/>
      <c r="K1543" s="42"/>
      <c r="L1543" s="42"/>
    </row>
    <row r="1544" spans="1:12" ht="18.75" customHeight="1" x14ac:dyDescent="0.25">
      <c r="A1544" s="328"/>
      <c r="J1544" s="42"/>
      <c r="K1544" s="42"/>
      <c r="L1544" s="42"/>
    </row>
    <row r="1545" spans="1:12" ht="18.75" customHeight="1" x14ac:dyDescent="0.25">
      <c r="A1545" s="328"/>
      <c r="J1545" s="42"/>
      <c r="K1545" s="42"/>
      <c r="L1545" s="42"/>
    </row>
    <row r="1546" spans="1:12" ht="18.75" customHeight="1" x14ac:dyDescent="0.25">
      <c r="A1546" s="328"/>
      <c r="J1546" s="42"/>
      <c r="K1546" s="42"/>
      <c r="L1546" s="42"/>
    </row>
    <row r="1547" spans="1:12" ht="18.75" customHeight="1" x14ac:dyDescent="0.25">
      <c r="A1547" s="328"/>
      <c r="J1547" s="42"/>
      <c r="K1547" s="42"/>
      <c r="L1547" s="42"/>
    </row>
    <row r="1548" spans="1:12" ht="18.75" customHeight="1" x14ac:dyDescent="0.25">
      <c r="A1548" s="328"/>
      <c r="J1548" s="42"/>
      <c r="K1548" s="42"/>
      <c r="L1548" s="42"/>
    </row>
    <row r="1549" spans="1:12" ht="18.75" customHeight="1" x14ac:dyDescent="0.25">
      <c r="A1549" s="328"/>
      <c r="J1549" s="42"/>
      <c r="K1549" s="42"/>
      <c r="L1549" s="42"/>
    </row>
    <row r="1550" spans="1:12" ht="18.75" customHeight="1" x14ac:dyDescent="0.25">
      <c r="A1550" s="328"/>
      <c r="J1550" s="42"/>
      <c r="K1550" s="42"/>
      <c r="L1550" s="42"/>
    </row>
    <row r="1551" spans="1:12" ht="18.75" customHeight="1" x14ac:dyDescent="0.25">
      <c r="A1551" s="328"/>
      <c r="B1551" s="633" t="s">
        <v>393</v>
      </c>
      <c r="C1551" s="633"/>
      <c r="D1551" s="633"/>
      <c r="E1551" s="633" t="s">
        <v>1141</v>
      </c>
      <c r="F1551" s="633"/>
      <c r="G1551" s="633"/>
      <c r="H1551" s="633"/>
      <c r="J1551" s="42"/>
      <c r="K1551" s="42"/>
      <c r="L1551" s="42"/>
    </row>
    <row r="1552" spans="1:12" ht="18.75" customHeight="1" x14ac:dyDescent="0.25">
      <c r="A1552" s="132"/>
      <c r="B1552" s="633" t="s">
        <v>392</v>
      </c>
      <c r="C1552" s="633"/>
      <c r="D1552" s="633"/>
      <c r="E1552" s="654" t="s">
        <v>391</v>
      </c>
      <c r="F1552" s="654"/>
      <c r="G1552" s="496" t="s">
        <v>388</v>
      </c>
      <c r="H1552" s="496" t="s">
        <v>389</v>
      </c>
      <c r="J1552" s="42"/>
      <c r="K1552" s="42"/>
      <c r="L1552" s="42"/>
    </row>
    <row r="1553" spans="1:12" ht="18.75" customHeight="1" x14ac:dyDescent="0.25">
      <c r="A1553" s="132"/>
      <c r="B1553" s="169" t="s">
        <v>646</v>
      </c>
      <c r="C1553" s="170">
        <f>'Process (5)'!O20</f>
        <v>0.97017846692262921</v>
      </c>
      <c r="D1553" s="171" t="s">
        <v>2</v>
      </c>
      <c r="E1553" s="643" t="s">
        <v>845</v>
      </c>
      <c r="F1553" s="643"/>
      <c r="G1553" s="499" t="s">
        <v>845</v>
      </c>
      <c r="H1553" s="499" t="s">
        <v>845</v>
      </c>
      <c r="J1553" s="42"/>
      <c r="K1553" s="42"/>
      <c r="L1553" s="42"/>
    </row>
    <row r="1554" spans="1:12" ht="18.75" customHeight="1" x14ac:dyDescent="0.25">
      <c r="A1554" s="132"/>
      <c r="B1554" s="169" t="s">
        <v>397</v>
      </c>
      <c r="C1554" s="170">
        <f>'Process (5)'!O21</f>
        <v>0.72017846692262921</v>
      </c>
      <c r="D1554" s="171" t="s">
        <v>2</v>
      </c>
      <c r="E1554" s="643" t="s">
        <v>845</v>
      </c>
      <c r="F1554" s="643"/>
      <c r="G1554" s="499" t="s">
        <v>845</v>
      </c>
      <c r="H1554" s="499" t="s">
        <v>845</v>
      </c>
      <c r="J1554" s="42"/>
      <c r="K1554" s="42"/>
      <c r="L1554" s="42"/>
    </row>
    <row r="1555" spans="1:12" ht="18.75" customHeight="1" x14ac:dyDescent="0.25">
      <c r="A1555" s="132"/>
      <c r="B1555" s="169" t="s">
        <v>397</v>
      </c>
      <c r="C1555" s="170">
        <f>'Process (5)'!O22</f>
        <v>0.72017846692262921</v>
      </c>
      <c r="D1555" s="171" t="s">
        <v>2</v>
      </c>
      <c r="E1555" s="643" t="s">
        <v>845</v>
      </c>
      <c r="F1555" s="643"/>
      <c r="G1555" s="499" t="s">
        <v>845</v>
      </c>
      <c r="H1555" s="499" t="s">
        <v>845</v>
      </c>
      <c r="J1555" s="42"/>
      <c r="K1555" s="42"/>
      <c r="L1555" s="42"/>
    </row>
    <row r="1556" spans="1:12" ht="18.75" customHeight="1" x14ac:dyDescent="0.25">
      <c r="A1556" s="132"/>
      <c r="B1556" s="169" t="s">
        <v>150</v>
      </c>
      <c r="C1556" s="170">
        <f>'Process (5)'!O23</f>
        <v>1.3798215330773709</v>
      </c>
      <c r="D1556" s="171" t="s">
        <v>2</v>
      </c>
      <c r="E1556" s="643" t="s">
        <v>845</v>
      </c>
      <c r="F1556" s="643"/>
      <c r="G1556" s="499" t="s">
        <v>845</v>
      </c>
      <c r="H1556" s="499" t="s">
        <v>845</v>
      </c>
      <c r="J1556" s="42"/>
      <c r="K1556" s="42"/>
      <c r="L1556" s="42"/>
    </row>
    <row r="1557" spans="1:12" ht="18.75" customHeight="1" x14ac:dyDescent="0.25">
      <c r="A1557" s="132"/>
      <c r="B1557" s="633" t="s">
        <v>392</v>
      </c>
      <c r="C1557" s="633"/>
      <c r="D1557" s="633"/>
      <c r="E1557" s="653" t="s">
        <v>394</v>
      </c>
      <c r="F1557" s="653"/>
      <c r="G1557" s="496" t="s">
        <v>388</v>
      </c>
      <c r="H1557" s="496" t="s">
        <v>389</v>
      </c>
      <c r="J1557" s="42"/>
      <c r="K1557" s="42"/>
      <c r="L1557" s="42"/>
    </row>
    <row r="1558" spans="1:12" ht="18.75" customHeight="1" x14ac:dyDescent="0.25">
      <c r="A1558" s="132"/>
      <c r="B1558" s="169" t="s">
        <v>646</v>
      </c>
      <c r="C1558" s="170">
        <f>C1553</f>
        <v>0.97017846692262921</v>
      </c>
      <c r="D1558" s="171" t="s">
        <v>2</v>
      </c>
      <c r="E1558" s="641">
        <f>'Process (5)'!T20</f>
        <v>-3.9687373026375385</v>
      </c>
      <c r="F1558" s="641"/>
      <c r="G1558" s="498">
        <f>'Process (5)'!U20</f>
        <v>-13.05</v>
      </c>
      <c r="H1558" s="171" t="str">
        <f>'Process (5)'!V20</f>
        <v>[ OK ]</v>
      </c>
      <c r="J1558" s="42"/>
      <c r="K1558" s="42"/>
      <c r="L1558" s="42"/>
    </row>
    <row r="1559" spans="1:12" ht="18.75" customHeight="1" x14ac:dyDescent="0.25">
      <c r="A1559" s="132"/>
      <c r="B1559" s="169" t="s">
        <v>397</v>
      </c>
      <c r="C1559" s="170">
        <f t="shared" ref="C1559:C1561" si="2">C1554</f>
        <v>0.72017846692262921</v>
      </c>
      <c r="D1559" s="171" t="s">
        <v>2</v>
      </c>
      <c r="E1559" s="641">
        <f>'Process (5)'!T21</f>
        <v>-2.9460550235651564</v>
      </c>
      <c r="F1559" s="641"/>
      <c r="G1559" s="498">
        <f>'Process (5)'!U21</f>
        <v>-13.05</v>
      </c>
      <c r="H1559" s="171" t="str">
        <f>'Process (5)'!V21</f>
        <v>[ OK ]</v>
      </c>
      <c r="J1559" s="42"/>
      <c r="K1559" s="42"/>
      <c r="L1559" s="42"/>
    </row>
    <row r="1560" spans="1:12" ht="18.75" customHeight="1" x14ac:dyDescent="0.25">
      <c r="A1560" s="132"/>
      <c r="B1560" s="169" t="s">
        <v>397</v>
      </c>
      <c r="C1560" s="170">
        <f t="shared" si="2"/>
        <v>0.72017846692262921</v>
      </c>
      <c r="D1560" s="171" t="s">
        <v>2</v>
      </c>
      <c r="E1560" s="641">
        <f>'Process (5)'!T22</f>
        <v>-14.927398893749373</v>
      </c>
      <c r="F1560" s="641"/>
      <c r="G1560" s="498">
        <f>'Process (5)'!U22</f>
        <v>-22.5</v>
      </c>
      <c r="H1560" s="171" t="str">
        <f>'Process (5)'!V22</f>
        <v>[ OK ]</v>
      </c>
      <c r="J1560" s="42"/>
      <c r="K1560" s="42"/>
      <c r="L1560" s="42"/>
    </row>
    <row r="1561" spans="1:12" ht="18.75" customHeight="1" x14ac:dyDescent="0.25">
      <c r="A1561" s="132"/>
      <c r="B1561" s="169" t="s">
        <v>150</v>
      </c>
      <c r="C1561" s="170">
        <f t="shared" si="2"/>
        <v>1.3798215330773709</v>
      </c>
      <c r="D1561" s="171" t="s">
        <v>2</v>
      </c>
      <c r="E1561" s="641">
        <f>'Process (5)'!T23</f>
        <v>-1.4595340741978857</v>
      </c>
      <c r="F1561" s="641"/>
      <c r="G1561" s="498">
        <f>'Process (5)'!U23</f>
        <v>-22.5</v>
      </c>
      <c r="H1561" s="171" t="str">
        <f>'Process (5)'!V23</f>
        <v>[ OK ]</v>
      </c>
      <c r="I1561" s="168"/>
      <c r="J1561" s="199"/>
      <c r="K1561" s="42"/>
      <c r="L1561" s="42"/>
    </row>
    <row r="1562" spans="1:12" ht="18.75" customHeight="1" x14ac:dyDescent="0.25">
      <c r="A1562" s="132"/>
      <c r="J1562" s="42"/>
      <c r="K1562" s="42"/>
      <c r="L1562" s="42"/>
    </row>
    <row r="1563" spans="1:12" ht="18.75" customHeight="1" x14ac:dyDescent="0.25">
      <c r="A1563" s="132"/>
      <c r="B1563" s="561"/>
      <c r="C1563" s="562" t="s">
        <v>1269</v>
      </c>
      <c r="E1563" s="560"/>
      <c r="F1563" s="562" t="s">
        <v>1270</v>
      </c>
      <c r="J1563" s="42"/>
      <c r="K1563" s="42"/>
      <c r="L1563" s="42"/>
    </row>
    <row r="1564" spans="1:12" ht="18.75" customHeight="1" x14ac:dyDescent="0.25">
      <c r="A1564" s="132"/>
      <c r="J1564" s="42"/>
      <c r="K1564" s="42"/>
      <c r="L1564" s="42"/>
    </row>
    <row r="1565" spans="1:12" ht="18.75" customHeight="1" x14ac:dyDescent="0.25">
      <c r="A1565" s="132"/>
      <c r="J1565" s="42"/>
      <c r="K1565" s="42"/>
      <c r="L1565" s="42"/>
    </row>
    <row r="1566" spans="1:12" ht="18.75" customHeight="1" x14ac:dyDescent="0.25">
      <c r="A1566" s="531" t="s">
        <v>1299</v>
      </c>
      <c r="B1566" s="482" t="s">
        <v>1271</v>
      </c>
      <c r="C1566" s="483"/>
      <c r="D1566" s="483"/>
      <c r="E1566" s="483"/>
      <c r="F1566" s="483"/>
      <c r="G1566" s="484"/>
      <c r="H1566" s="485"/>
      <c r="I1566" s="486"/>
    </row>
    <row r="1567" spans="1:12" ht="18.75" customHeight="1" x14ac:dyDescent="0.25">
      <c r="A1567" s="132" t="s">
        <v>827</v>
      </c>
      <c r="B1567" s="528" t="s">
        <v>834</v>
      </c>
      <c r="C1567" s="133"/>
      <c r="D1567" s="133"/>
      <c r="E1567" s="133"/>
      <c r="F1567" s="133"/>
      <c r="G1567" s="133"/>
      <c r="H1567" s="133"/>
      <c r="I1567" s="134"/>
      <c r="J1567" s="42"/>
      <c r="K1567" s="42"/>
      <c r="L1567" s="42"/>
    </row>
    <row r="1568" spans="1:12" ht="18.75" customHeight="1" x14ac:dyDescent="0.25">
      <c r="A1568" s="132"/>
      <c r="B1568" s="42" t="s">
        <v>423</v>
      </c>
      <c r="C1568" s="89"/>
      <c r="D1568" s="89"/>
      <c r="E1568" s="89"/>
      <c r="F1568" s="89"/>
      <c r="G1568" s="136" t="s">
        <v>412</v>
      </c>
      <c r="H1568" s="500">
        <f>'Process (6)'!H3</f>
        <v>33234018.715767734</v>
      </c>
      <c r="I1568" s="142" t="s">
        <v>135</v>
      </c>
      <c r="J1568" s="42"/>
      <c r="K1568" s="42"/>
      <c r="L1568" s="42"/>
    </row>
    <row r="1569" spans="1:12" ht="18.75" customHeight="1" x14ac:dyDescent="0.25">
      <c r="A1569" s="132"/>
      <c r="B1569" s="42" t="s">
        <v>104</v>
      </c>
      <c r="C1569" s="89"/>
      <c r="D1569" s="89"/>
      <c r="E1569" s="89"/>
      <c r="F1569" s="133"/>
      <c r="G1569" s="136" t="s">
        <v>403</v>
      </c>
      <c r="H1569" s="129">
        <f>'Process (6)'!H4</f>
        <v>0.41398802635392218</v>
      </c>
      <c r="I1569" s="142" t="s">
        <v>128</v>
      </c>
      <c r="J1569" s="42"/>
      <c r="K1569" s="42"/>
      <c r="L1569" s="42"/>
    </row>
    <row r="1570" spans="1:12" ht="18.75" customHeight="1" x14ac:dyDescent="0.25">
      <c r="A1570" s="132"/>
      <c r="B1570" s="42" t="s">
        <v>20</v>
      </c>
      <c r="C1570" s="89"/>
      <c r="D1570" s="89"/>
      <c r="E1570" s="89"/>
      <c r="F1570" s="133"/>
      <c r="G1570" s="136" t="s">
        <v>21</v>
      </c>
      <c r="H1570" s="137">
        <f>'Process (6)'!H5</f>
        <v>40</v>
      </c>
      <c r="I1570" s="142" t="s">
        <v>2</v>
      </c>
      <c r="J1570" s="42"/>
      <c r="K1570" s="42"/>
      <c r="L1570" s="42"/>
    </row>
    <row r="1571" spans="1:12" ht="18.75" customHeight="1" x14ac:dyDescent="0.25">
      <c r="A1571" s="132"/>
      <c r="B1571" s="133"/>
      <c r="C1571" s="89"/>
      <c r="D1571" s="89"/>
      <c r="E1571" s="89"/>
      <c r="F1571" s="133"/>
      <c r="G1571" s="133"/>
      <c r="H1571" s="134"/>
      <c r="I1571" s="142"/>
      <c r="J1571" s="42"/>
      <c r="K1571" s="42"/>
      <c r="L1571" s="42"/>
    </row>
    <row r="1572" spans="1:12" ht="18.75" customHeight="1" x14ac:dyDescent="0.25">
      <c r="A1572" s="132" t="s">
        <v>1325</v>
      </c>
      <c r="B1572" s="528" t="s">
        <v>520</v>
      </c>
      <c r="C1572" s="133"/>
      <c r="D1572" s="133"/>
      <c r="E1572" s="133"/>
      <c r="F1572" s="133"/>
      <c r="G1572" s="133"/>
      <c r="H1572" s="134"/>
      <c r="I1572" s="142"/>
      <c r="J1572" s="42"/>
      <c r="K1572" s="42"/>
      <c r="L1572" s="42"/>
    </row>
    <row r="1573" spans="1:12" ht="18.75" customHeight="1" x14ac:dyDescent="0.25">
      <c r="A1573" s="132"/>
      <c r="B1573" s="133" t="s">
        <v>424</v>
      </c>
      <c r="C1573" s="133"/>
      <c r="D1573" s="133"/>
      <c r="E1573" s="133"/>
      <c r="F1573" s="133"/>
      <c r="G1573" s="136" t="s">
        <v>413</v>
      </c>
      <c r="H1573" s="138">
        <f>'Process (6)'!H8</f>
        <v>9905.5396910481722</v>
      </c>
      <c r="I1573" s="142" t="s">
        <v>40</v>
      </c>
      <c r="J1573" s="42"/>
      <c r="K1573" s="42"/>
      <c r="L1573" s="42"/>
    </row>
    <row r="1574" spans="1:12" ht="18.75" customHeight="1" x14ac:dyDescent="0.25">
      <c r="A1574" s="132"/>
      <c r="B1574" s="42" t="s">
        <v>138</v>
      </c>
      <c r="C1574" s="133"/>
      <c r="D1574" s="133"/>
      <c r="E1574" s="133"/>
      <c r="F1574" s="133"/>
      <c r="G1574" s="136" t="s">
        <v>414</v>
      </c>
      <c r="H1574" s="138">
        <f>'Process (6)'!H9</f>
        <v>0.81195046302450269</v>
      </c>
      <c r="I1574" s="142" t="s">
        <v>2</v>
      </c>
      <c r="J1574" s="42"/>
      <c r="K1574" s="42"/>
      <c r="L1574" s="42"/>
    </row>
    <row r="1575" spans="1:12" ht="18.75" customHeight="1" x14ac:dyDescent="0.25">
      <c r="A1575" s="132"/>
      <c r="B1575" s="133" t="s">
        <v>425</v>
      </c>
      <c r="C1575" s="133"/>
      <c r="D1575" s="133"/>
      <c r="E1575" s="133"/>
      <c r="F1575" s="133"/>
      <c r="G1575" s="136" t="s">
        <v>146</v>
      </c>
      <c r="H1575" s="138">
        <f>'Process (6)'!H10</f>
        <v>3611.0400000000013</v>
      </c>
      <c r="I1575" s="142" t="s">
        <v>411</v>
      </c>
      <c r="J1575" s="42"/>
      <c r="K1575" s="42"/>
      <c r="L1575" s="42"/>
    </row>
    <row r="1576" spans="1:12" ht="18.75" customHeight="1" x14ac:dyDescent="0.25">
      <c r="A1576" s="132"/>
      <c r="B1576" s="133" t="s">
        <v>427</v>
      </c>
      <c r="C1576" s="133"/>
      <c r="D1576" s="133"/>
      <c r="E1576" s="133"/>
      <c r="F1576" s="133"/>
      <c r="G1576" s="136" t="s">
        <v>415</v>
      </c>
      <c r="H1576" s="138">
        <f>'Process (6)'!H11</f>
        <v>40.214037693270768</v>
      </c>
      <c r="I1576" s="142" t="s">
        <v>39</v>
      </c>
      <c r="J1576" s="42"/>
      <c r="K1576" s="42"/>
      <c r="L1576" s="42"/>
    </row>
    <row r="1577" spans="1:12" ht="18.75" customHeight="1" x14ac:dyDescent="0.25">
      <c r="A1577" s="132"/>
      <c r="B1577" s="133" t="s">
        <v>426</v>
      </c>
      <c r="C1577" s="133"/>
      <c r="D1577" s="133"/>
      <c r="E1577" s="133"/>
      <c r="F1577" s="133"/>
      <c r="G1577" s="136" t="s">
        <v>416</v>
      </c>
      <c r="H1577" s="138">
        <f>'Process (6)'!H12</f>
        <v>18.055200000000006</v>
      </c>
      <c r="I1577" s="142" t="s">
        <v>39</v>
      </c>
      <c r="J1577" s="42"/>
      <c r="K1577" s="42"/>
      <c r="L1577" s="42"/>
    </row>
    <row r="1578" spans="1:12" ht="18.75" customHeight="1" x14ac:dyDescent="0.25">
      <c r="A1578" s="132"/>
      <c r="B1578" s="89" t="s">
        <v>428</v>
      </c>
      <c r="C1578" s="89"/>
      <c r="D1578" s="89"/>
      <c r="E1578" s="89"/>
      <c r="F1578" s="89"/>
      <c r="G1578" s="89"/>
      <c r="H1578" s="128"/>
      <c r="I1578" s="143"/>
      <c r="J1578" s="42"/>
      <c r="K1578" s="42"/>
      <c r="L1578" s="42"/>
    </row>
    <row r="1579" spans="1:12" ht="18.75" customHeight="1" x14ac:dyDescent="0.25">
      <c r="A1579" s="132"/>
      <c r="B1579" s="89"/>
      <c r="C1579" s="89"/>
      <c r="D1579" s="89"/>
      <c r="E1579" s="133"/>
      <c r="F1579" s="133"/>
      <c r="G1579" s="136" t="s">
        <v>417</v>
      </c>
      <c r="H1579" s="137">
        <f>'Process (6)'!H14</f>
        <v>-53.685262534685748</v>
      </c>
      <c r="I1579" s="142" t="str">
        <f>IF(H1579&gt;=0,"mm (↓)","mm (↑)")</f>
        <v>mm (↑)</v>
      </c>
      <c r="J1579" s="42"/>
      <c r="K1579" s="42"/>
      <c r="L1579" s="42"/>
    </row>
    <row r="1580" spans="1:12" ht="18.75" customHeight="1" x14ac:dyDescent="0.25">
      <c r="A1580" s="132"/>
      <c r="B1580" s="89"/>
      <c r="C1580" s="133"/>
      <c r="D1580" s="133"/>
      <c r="E1580" s="89"/>
      <c r="F1580" s="89"/>
      <c r="G1580" s="89"/>
      <c r="H1580" s="133"/>
      <c r="I1580" s="134"/>
      <c r="J1580" s="42"/>
      <c r="K1580" s="42"/>
      <c r="L1580" s="42"/>
    </row>
    <row r="1581" spans="1:12" ht="18.75" customHeight="1" x14ac:dyDescent="0.25">
      <c r="A1581" s="132"/>
      <c r="B1581" s="133" t="s">
        <v>429</v>
      </c>
      <c r="C1581" s="127" t="s">
        <v>430</v>
      </c>
      <c r="D1581" s="128" t="s">
        <v>362</v>
      </c>
      <c r="E1581" s="128" t="s">
        <v>431</v>
      </c>
      <c r="F1581" s="89"/>
      <c r="G1581" s="133"/>
      <c r="H1581" s="134"/>
      <c r="I1581" s="128"/>
      <c r="J1581" s="42"/>
      <c r="K1581" s="42"/>
      <c r="L1581" s="42"/>
    </row>
    <row r="1582" spans="1:12" ht="18.75" customHeight="1" x14ac:dyDescent="0.25">
      <c r="A1582" s="132"/>
      <c r="B1582" s="133"/>
      <c r="C1582" s="129">
        <f>'Process (6)'!C17</f>
        <v>-53.685262534685748</v>
      </c>
      <c r="D1582" s="130" t="str">
        <f>IF(C1582&lt;E1582,"&lt;","&gt;")</f>
        <v>&lt;</v>
      </c>
      <c r="E1582" s="129">
        <f>'Process (6)'!E17</f>
        <v>133.33333333333334</v>
      </c>
      <c r="F1582" s="89"/>
      <c r="G1582" s="131" t="s">
        <v>363</v>
      </c>
      <c r="H1582" s="132" t="str">
        <f>IF(C1582&lt;E1582,"[ OK ]","[ NOT OK ]")</f>
        <v>[ OK ]</v>
      </c>
      <c r="I1582" s="128"/>
      <c r="J1582" s="42"/>
      <c r="K1582" s="42"/>
      <c r="L1582" s="42"/>
    </row>
    <row r="1583" spans="1:12" ht="18.75" customHeight="1" x14ac:dyDescent="0.25">
      <c r="A1583" s="132"/>
      <c r="B1583" s="89"/>
      <c r="C1583" s="89"/>
      <c r="D1583" s="89"/>
      <c r="E1583" s="89"/>
      <c r="F1583" s="89"/>
      <c r="G1583" s="89"/>
      <c r="H1583" s="89"/>
      <c r="I1583" s="128"/>
      <c r="J1583" s="42"/>
      <c r="K1583" s="42"/>
      <c r="L1583" s="42"/>
    </row>
    <row r="1584" spans="1:12" ht="18.75" customHeight="1" x14ac:dyDescent="0.25">
      <c r="A1584" s="132"/>
      <c r="B1584" s="89"/>
      <c r="C1584" s="89"/>
      <c r="D1584" s="89"/>
      <c r="E1584" s="89"/>
      <c r="F1584" s="89"/>
      <c r="G1584" s="89"/>
      <c r="H1584" s="89"/>
      <c r="I1584" s="128"/>
      <c r="J1584" s="42"/>
      <c r="K1584" s="42"/>
      <c r="L1584" s="42"/>
    </row>
    <row r="1585" spans="1:12" ht="18.75" customHeight="1" x14ac:dyDescent="0.25">
      <c r="A1585" s="132"/>
      <c r="B1585" s="89"/>
      <c r="C1585" s="89"/>
      <c r="D1585" s="89"/>
      <c r="E1585" s="89"/>
      <c r="F1585" s="89"/>
      <c r="G1585" s="89"/>
      <c r="H1585" s="89"/>
      <c r="I1585" s="128"/>
      <c r="J1585" s="42"/>
      <c r="K1585" s="42"/>
      <c r="L1585" s="42"/>
    </row>
    <row r="1586" spans="1:12" ht="18.75" customHeight="1" x14ac:dyDescent="0.25">
      <c r="A1586" s="132"/>
      <c r="B1586" s="89"/>
      <c r="C1586" s="89"/>
      <c r="D1586" s="89"/>
      <c r="E1586" s="89"/>
      <c r="F1586" s="89"/>
      <c r="G1586" s="89"/>
      <c r="H1586" s="89"/>
      <c r="I1586" s="128"/>
      <c r="J1586" s="42"/>
      <c r="K1586" s="42"/>
      <c r="L1586" s="42"/>
    </row>
    <row r="1587" spans="1:12" ht="18.75" customHeight="1" x14ac:dyDescent="0.25">
      <c r="A1587" s="132"/>
      <c r="B1587" s="89"/>
      <c r="C1587" s="89"/>
      <c r="D1587" s="89"/>
      <c r="E1587" s="89"/>
      <c r="F1587" s="89"/>
      <c r="G1587" s="89"/>
      <c r="H1587" s="89"/>
      <c r="I1587" s="128"/>
      <c r="J1587" s="42"/>
      <c r="K1587" s="42"/>
      <c r="L1587" s="42"/>
    </row>
    <row r="1588" spans="1:12" ht="18.75" customHeight="1" x14ac:dyDescent="0.25">
      <c r="A1588" s="132" t="s">
        <v>1326</v>
      </c>
      <c r="B1588" s="528" t="s">
        <v>521</v>
      </c>
      <c r="C1588" s="133"/>
      <c r="D1588" s="133"/>
      <c r="E1588" s="133"/>
      <c r="F1588" s="133"/>
      <c r="G1588" s="133"/>
      <c r="H1588" s="133"/>
      <c r="I1588" s="134"/>
      <c r="J1588" s="42"/>
      <c r="K1588" s="42"/>
      <c r="L1588" s="42"/>
    </row>
    <row r="1589" spans="1:12" ht="18.75" customHeight="1" x14ac:dyDescent="0.25">
      <c r="A1589" s="132"/>
      <c r="B1589" s="133" t="s">
        <v>442</v>
      </c>
      <c r="C1589" s="133"/>
      <c r="D1589" s="133"/>
      <c r="E1589" s="133"/>
      <c r="F1589" s="133"/>
      <c r="G1589" s="136" t="s">
        <v>432</v>
      </c>
      <c r="H1589" s="138">
        <f>'Process (6)'!H20</f>
        <v>8901.7660267627289</v>
      </c>
      <c r="I1589" s="142" t="s">
        <v>40</v>
      </c>
      <c r="J1589" s="42"/>
      <c r="K1589" s="42"/>
      <c r="L1589" s="42"/>
    </row>
    <row r="1590" spans="1:12" ht="18.75" customHeight="1" x14ac:dyDescent="0.25">
      <c r="A1590" s="132"/>
      <c r="B1590" s="42" t="s">
        <v>138</v>
      </c>
      <c r="C1590" s="133"/>
      <c r="D1590" s="133"/>
      <c r="E1590" s="133"/>
      <c r="F1590" s="133"/>
      <c r="G1590" s="136" t="s">
        <v>414</v>
      </c>
      <c r="H1590" s="138">
        <f>'Process (6)'!H21</f>
        <v>0.81195046302450269</v>
      </c>
      <c r="I1590" s="142" t="s">
        <v>2</v>
      </c>
      <c r="J1590" s="42"/>
      <c r="K1590" s="42"/>
      <c r="L1590" s="42"/>
    </row>
    <row r="1591" spans="1:12" ht="18.75" customHeight="1" x14ac:dyDescent="0.25">
      <c r="A1591" s="132"/>
      <c r="B1591" s="133" t="s">
        <v>425</v>
      </c>
      <c r="C1591" s="133"/>
      <c r="D1591" s="133"/>
      <c r="E1591" s="133"/>
      <c r="F1591" s="133"/>
      <c r="G1591" s="136" t="s">
        <v>146</v>
      </c>
      <c r="H1591" s="138">
        <f>'Process (6)'!H22</f>
        <v>3611.0400000000013</v>
      </c>
      <c r="I1591" s="142" t="s">
        <v>411</v>
      </c>
      <c r="J1591" s="42"/>
      <c r="K1591" s="42"/>
      <c r="L1591" s="42"/>
    </row>
    <row r="1592" spans="1:12" ht="18.75" customHeight="1" x14ac:dyDescent="0.25">
      <c r="A1592" s="132"/>
      <c r="B1592" s="133" t="s">
        <v>427</v>
      </c>
      <c r="C1592" s="133"/>
      <c r="D1592" s="133"/>
      <c r="E1592" s="133"/>
      <c r="F1592" s="133"/>
      <c r="G1592" s="136" t="s">
        <v>433</v>
      </c>
      <c r="H1592" s="138">
        <f>'Process (6)'!H23</f>
        <v>36.138965235828927</v>
      </c>
      <c r="I1592" s="142" t="s">
        <v>39</v>
      </c>
      <c r="J1592" s="42"/>
      <c r="K1592" s="42"/>
      <c r="L1592" s="42"/>
    </row>
    <row r="1593" spans="1:12" ht="18.75" customHeight="1" x14ac:dyDescent="0.25">
      <c r="A1593" s="132"/>
      <c r="B1593" s="133" t="s">
        <v>426</v>
      </c>
      <c r="C1593" s="133"/>
      <c r="D1593" s="133"/>
      <c r="E1593" s="133"/>
      <c r="F1593" s="133"/>
      <c r="G1593" s="136" t="s">
        <v>416</v>
      </c>
      <c r="H1593" s="138">
        <f>'Process (6)'!H24</f>
        <v>18.055200000000006</v>
      </c>
      <c r="I1593" s="142" t="s">
        <v>39</v>
      </c>
      <c r="J1593" s="42"/>
      <c r="K1593" s="42"/>
      <c r="L1593" s="42"/>
    </row>
    <row r="1594" spans="1:12" ht="18.75" customHeight="1" x14ac:dyDescent="0.25">
      <c r="A1594" s="132"/>
      <c r="B1594" s="89" t="s">
        <v>428</v>
      </c>
      <c r="C1594" s="89"/>
      <c r="D1594" s="89"/>
      <c r="E1594" s="89"/>
      <c r="F1594" s="89"/>
      <c r="G1594" s="89"/>
      <c r="H1594" s="128"/>
      <c r="I1594" s="143"/>
      <c r="J1594" s="42"/>
      <c r="K1594" s="42"/>
      <c r="L1594" s="42"/>
    </row>
    <row r="1595" spans="1:12" ht="18.75" customHeight="1" x14ac:dyDescent="0.25">
      <c r="A1595" s="132"/>
      <c r="B1595" s="89"/>
      <c r="C1595" s="89"/>
      <c r="D1595" s="89"/>
      <c r="E1595" s="133"/>
      <c r="F1595" s="133"/>
      <c r="G1595" s="136" t="s">
        <v>419</v>
      </c>
      <c r="H1595" s="137">
        <f>'Process (6)'!H26</f>
        <v>-43.812392045992681</v>
      </c>
      <c r="I1595" s="142" t="str">
        <f>IF(H1595&gt;=0,"mm (↓)","mm (↑)")</f>
        <v>mm (↑)</v>
      </c>
      <c r="J1595" s="42"/>
      <c r="K1595" s="42"/>
      <c r="L1595" s="42"/>
    </row>
    <row r="1596" spans="1:12" ht="18.75" customHeight="1" x14ac:dyDescent="0.25">
      <c r="A1596" s="132"/>
      <c r="B1596" s="89"/>
      <c r="C1596" s="133"/>
      <c r="D1596" s="133"/>
      <c r="E1596" s="89"/>
      <c r="F1596" s="89"/>
      <c r="G1596" s="89"/>
      <c r="H1596" s="133"/>
      <c r="I1596" s="134"/>
      <c r="J1596" s="42"/>
      <c r="K1596" s="42"/>
      <c r="L1596" s="42"/>
    </row>
    <row r="1597" spans="1:12" ht="18.75" customHeight="1" x14ac:dyDescent="0.25">
      <c r="A1597" s="132"/>
      <c r="B1597" s="133" t="s">
        <v>429</v>
      </c>
      <c r="C1597" s="127" t="s">
        <v>430</v>
      </c>
      <c r="D1597" s="128" t="s">
        <v>362</v>
      </c>
      <c r="E1597" s="128" t="s">
        <v>431</v>
      </c>
      <c r="F1597" s="89"/>
      <c r="G1597" s="133"/>
      <c r="H1597" s="134"/>
      <c r="I1597" s="128"/>
      <c r="J1597" s="42"/>
      <c r="K1597" s="42"/>
      <c r="L1597" s="42"/>
    </row>
    <row r="1598" spans="1:12" ht="18.75" customHeight="1" x14ac:dyDescent="0.25">
      <c r="A1598" s="132"/>
      <c r="B1598" s="133"/>
      <c r="C1598" s="129">
        <f>'Process (6)'!C29</f>
        <v>-43.812392045992681</v>
      </c>
      <c r="D1598" s="130" t="str">
        <f>IF(C1598&lt;E1598,"&lt;","&gt;")</f>
        <v>&lt;</v>
      </c>
      <c r="E1598" s="129">
        <f>'Process (6)'!E29</f>
        <v>133.33333333333334</v>
      </c>
      <c r="F1598" s="89"/>
      <c r="G1598" s="131" t="s">
        <v>363</v>
      </c>
      <c r="H1598" s="132" t="str">
        <f>IF(C1598&lt;E1598,"[ OK ]","[ NOT OK ]")</f>
        <v>[ OK ]</v>
      </c>
      <c r="I1598" s="128"/>
      <c r="J1598" s="42"/>
      <c r="K1598" s="42"/>
      <c r="L1598" s="42"/>
    </row>
    <row r="1599" spans="1:12" ht="18.75" customHeight="1" x14ac:dyDescent="0.25">
      <c r="A1599" s="132"/>
      <c r="B1599" s="89"/>
      <c r="C1599" s="89"/>
      <c r="D1599" s="89"/>
      <c r="E1599" s="89"/>
      <c r="F1599" s="89"/>
      <c r="G1599" s="89"/>
      <c r="H1599" s="89"/>
      <c r="I1599" s="128"/>
      <c r="J1599" s="42"/>
      <c r="K1599" s="42"/>
      <c r="L1599" s="42"/>
    </row>
    <row r="1600" spans="1:12" ht="18.75" customHeight="1" x14ac:dyDescent="0.25">
      <c r="A1600" s="132" t="s">
        <v>1327</v>
      </c>
      <c r="B1600" s="528" t="s">
        <v>522</v>
      </c>
      <c r="C1600" s="133"/>
      <c r="D1600" s="133"/>
      <c r="E1600" s="133"/>
      <c r="F1600" s="133"/>
      <c r="G1600" s="133"/>
      <c r="H1600" s="133"/>
      <c r="I1600" s="134"/>
      <c r="J1600" s="42"/>
      <c r="K1600" s="42"/>
      <c r="L1600" s="42"/>
    </row>
    <row r="1601" spans="1:12" ht="18.75" customHeight="1" x14ac:dyDescent="0.25">
      <c r="A1601" s="132"/>
      <c r="B1601" s="133" t="s">
        <v>442</v>
      </c>
      <c r="C1601" s="133"/>
      <c r="D1601" s="133"/>
      <c r="E1601" s="133"/>
      <c r="F1601" s="133"/>
      <c r="G1601" s="136" t="s">
        <v>432</v>
      </c>
      <c r="H1601" s="138">
        <f>'Process (6)'!H32</f>
        <v>8901.7660267627289</v>
      </c>
      <c r="I1601" s="142" t="s">
        <v>40</v>
      </c>
      <c r="J1601" s="42"/>
      <c r="K1601" s="42"/>
      <c r="L1601" s="42"/>
    </row>
    <row r="1602" spans="1:12" ht="18.75" customHeight="1" x14ac:dyDescent="0.25">
      <c r="A1602" s="132"/>
      <c r="B1602" s="42" t="s">
        <v>138</v>
      </c>
      <c r="C1602" s="133"/>
      <c r="D1602" s="133"/>
      <c r="E1602" s="133"/>
      <c r="F1602" s="133"/>
      <c r="G1602" s="136" t="s">
        <v>414</v>
      </c>
      <c r="H1602" s="138">
        <f>'Process (6)'!H33</f>
        <v>0.81195046302450269</v>
      </c>
      <c r="I1602" s="142" t="s">
        <v>2</v>
      </c>
      <c r="J1602" s="42"/>
      <c r="K1602" s="42"/>
      <c r="L1602" s="42"/>
    </row>
    <row r="1603" spans="1:12" ht="18.75" customHeight="1" x14ac:dyDescent="0.25">
      <c r="A1603" s="132"/>
      <c r="B1603" s="133" t="s">
        <v>830</v>
      </c>
      <c r="C1603" s="133"/>
      <c r="D1603" s="133"/>
      <c r="E1603" s="133"/>
      <c r="F1603" s="133"/>
      <c r="J1603" s="42"/>
      <c r="K1603" s="42"/>
      <c r="L1603" s="42"/>
    </row>
    <row r="1604" spans="1:12" ht="18.75" customHeight="1" x14ac:dyDescent="0.25">
      <c r="A1604" s="132"/>
      <c r="B1604" s="133"/>
      <c r="C1604" s="133"/>
      <c r="D1604" s="133"/>
      <c r="E1604" s="133"/>
      <c r="F1604" s="133"/>
      <c r="G1604" s="136" t="s">
        <v>829</v>
      </c>
      <c r="H1604" s="138">
        <f>'Process (6)'!H34</f>
        <v>6417.1200000000026</v>
      </c>
      <c r="I1604" s="142" t="s">
        <v>411</v>
      </c>
      <c r="J1604" s="42"/>
      <c r="K1604" s="42"/>
      <c r="L1604" s="42"/>
    </row>
    <row r="1605" spans="1:12" ht="18.75" customHeight="1" x14ac:dyDescent="0.25">
      <c r="A1605" s="132"/>
      <c r="B1605" s="133" t="s">
        <v>427</v>
      </c>
      <c r="C1605" s="133"/>
      <c r="D1605" s="133"/>
      <c r="E1605" s="133"/>
      <c r="F1605" s="133"/>
      <c r="G1605" s="136" t="s">
        <v>433</v>
      </c>
      <c r="H1605" s="138">
        <f>'Process (6)'!H35</f>
        <v>36.138965235828927</v>
      </c>
      <c r="I1605" s="142" t="s">
        <v>39</v>
      </c>
      <c r="J1605" s="42"/>
      <c r="K1605" s="42"/>
      <c r="L1605" s="42"/>
    </row>
    <row r="1606" spans="1:12" ht="18.75" customHeight="1" x14ac:dyDescent="0.25">
      <c r="A1606" s="132"/>
      <c r="B1606" s="133" t="s">
        <v>426</v>
      </c>
      <c r="C1606" s="133"/>
      <c r="D1606" s="133"/>
      <c r="E1606" s="133"/>
      <c r="F1606" s="133"/>
      <c r="J1606" s="42"/>
      <c r="K1606" s="42"/>
      <c r="L1606" s="42"/>
    </row>
    <row r="1607" spans="1:12" ht="18.75" customHeight="1" x14ac:dyDescent="0.25">
      <c r="A1607" s="132"/>
      <c r="B1607" s="133"/>
      <c r="C1607" s="133"/>
      <c r="D1607" s="133"/>
      <c r="E1607" s="133"/>
      <c r="F1607" s="133"/>
      <c r="G1607" s="136" t="s">
        <v>420</v>
      </c>
      <c r="H1607" s="138">
        <f>'Process (6)'!H36</f>
        <v>32.085600000000014</v>
      </c>
      <c r="I1607" s="142" t="s">
        <v>39</v>
      </c>
      <c r="J1607" s="42"/>
      <c r="K1607" s="42"/>
      <c r="L1607" s="42"/>
    </row>
    <row r="1608" spans="1:12" ht="18.75" customHeight="1" x14ac:dyDescent="0.25">
      <c r="A1608" s="132"/>
      <c r="B1608" s="89" t="s">
        <v>428</v>
      </c>
      <c r="C1608" s="89"/>
      <c r="D1608" s="89"/>
      <c r="E1608" s="89"/>
      <c r="F1608" s="89"/>
      <c r="G1608" s="89"/>
      <c r="H1608" s="128"/>
      <c r="I1608" s="143"/>
      <c r="J1608" s="42"/>
      <c r="K1608" s="42"/>
      <c r="L1608" s="42"/>
    </row>
    <row r="1609" spans="1:12" ht="18.75" customHeight="1" x14ac:dyDescent="0.25">
      <c r="A1609" s="132"/>
      <c r="B1609" s="89"/>
      <c r="C1609" s="89"/>
      <c r="D1609" s="89"/>
      <c r="E1609" s="133"/>
      <c r="F1609" s="133"/>
      <c r="G1609" s="136" t="s">
        <v>421</v>
      </c>
      <c r="H1609" s="137">
        <f>'Process (6)'!H38</f>
        <v>-9.8202793777638693</v>
      </c>
      <c r="I1609" s="142" t="str">
        <f>IF(H1609&gt;=0,"mm (↓)","mm (↑)")</f>
        <v>mm (↑)</v>
      </c>
      <c r="J1609" s="42"/>
      <c r="K1609" s="42"/>
      <c r="L1609" s="42"/>
    </row>
    <row r="1610" spans="1:12" ht="18.75" customHeight="1" x14ac:dyDescent="0.25">
      <c r="A1610" s="132"/>
      <c r="B1610" s="89"/>
      <c r="C1610" s="133"/>
      <c r="D1610" s="133"/>
      <c r="E1610" s="89"/>
      <c r="F1610" s="89"/>
      <c r="G1610" s="89"/>
      <c r="H1610" s="133"/>
      <c r="I1610" s="134"/>
      <c r="J1610" s="42"/>
      <c r="K1610" s="42"/>
      <c r="L1610" s="42"/>
    </row>
    <row r="1611" spans="1:12" ht="18.75" customHeight="1" x14ac:dyDescent="0.25">
      <c r="A1611" s="132"/>
      <c r="B1611" s="133" t="s">
        <v>429</v>
      </c>
      <c r="C1611" s="127" t="s">
        <v>430</v>
      </c>
      <c r="D1611" s="128" t="s">
        <v>362</v>
      </c>
      <c r="E1611" s="128" t="s">
        <v>431</v>
      </c>
      <c r="F1611" s="89"/>
      <c r="G1611" s="133"/>
      <c r="H1611" s="134"/>
      <c r="I1611" s="128"/>
      <c r="J1611" s="42"/>
      <c r="K1611" s="42"/>
      <c r="L1611" s="42"/>
    </row>
    <row r="1612" spans="1:12" ht="18.75" customHeight="1" x14ac:dyDescent="0.25">
      <c r="A1612" s="132"/>
      <c r="B1612" s="133"/>
      <c r="C1612" s="129">
        <f>'Process (6)'!C41</f>
        <v>-9.8202793777638693</v>
      </c>
      <c r="D1612" s="130" t="str">
        <f>IF(C1612&lt;E1612,"&lt;","&gt;")</f>
        <v>&lt;</v>
      </c>
      <c r="E1612" s="129">
        <f>'Process (6)'!E41</f>
        <v>133.33333333333334</v>
      </c>
      <c r="F1612" s="89"/>
      <c r="G1612" s="131" t="s">
        <v>363</v>
      </c>
      <c r="H1612" s="132" t="str">
        <f>IF(C1612&lt;E1612,"[ OK ]","[ NOT OK ]")</f>
        <v>[ OK ]</v>
      </c>
      <c r="I1612" s="128"/>
      <c r="J1612" s="42"/>
      <c r="K1612" s="42"/>
      <c r="L1612" s="42"/>
    </row>
    <row r="1613" spans="1:12" ht="18.75" customHeight="1" x14ac:dyDescent="0.25">
      <c r="A1613" s="132"/>
      <c r="B1613" s="89"/>
      <c r="C1613" s="89"/>
      <c r="D1613" s="89"/>
      <c r="E1613" s="89"/>
      <c r="F1613" s="89"/>
      <c r="G1613" s="89"/>
      <c r="H1613" s="89"/>
      <c r="I1613" s="128"/>
      <c r="J1613" s="42"/>
      <c r="K1613" s="42"/>
      <c r="L1613" s="42"/>
    </row>
    <row r="1614" spans="1:12" ht="18.75" customHeight="1" x14ac:dyDescent="0.25">
      <c r="A1614" s="132" t="s">
        <v>828</v>
      </c>
      <c r="B1614" s="528" t="s">
        <v>523</v>
      </c>
      <c r="C1614" s="133"/>
      <c r="D1614" s="133"/>
      <c r="E1614" s="133"/>
      <c r="F1614" s="133"/>
      <c r="G1614" s="133"/>
      <c r="H1614" s="133"/>
      <c r="I1614" s="134"/>
      <c r="J1614" s="42"/>
      <c r="K1614" s="42"/>
      <c r="L1614" s="42"/>
    </row>
    <row r="1615" spans="1:12" ht="18.75" customHeight="1" x14ac:dyDescent="0.25">
      <c r="A1615" s="132"/>
      <c r="B1615" s="133" t="s">
        <v>443</v>
      </c>
      <c r="C1615" s="133"/>
      <c r="D1615" s="133"/>
      <c r="E1615" s="133"/>
      <c r="F1615" s="133"/>
      <c r="G1615" s="136" t="s">
        <v>418</v>
      </c>
      <c r="H1615" s="138">
        <f>'Process (6)'!H44</f>
        <v>7579.4128750556474</v>
      </c>
      <c r="I1615" s="142" t="s">
        <v>40</v>
      </c>
      <c r="J1615" s="42"/>
      <c r="K1615" s="42"/>
      <c r="L1615" s="42"/>
    </row>
    <row r="1616" spans="1:12" ht="18.75" customHeight="1" x14ac:dyDescent="0.25">
      <c r="A1616" s="132"/>
      <c r="B1616" s="42" t="s">
        <v>436</v>
      </c>
      <c r="C1616" s="133"/>
      <c r="D1616" s="133"/>
      <c r="E1616" s="133"/>
      <c r="F1616" s="133"/>
      <c r="G1616" s="30" t="s">
        <v>150</v>
      </c>
      <c r="H1616" s="138">
        <f>'Process (6)'!H45</f>
        <v>1.0119504630245026</v>
      </c>
      <c r="I1616" s="142" t="s">
        <v>2</v>
      </c>
      <c r="J1616" s="42"/>
      <c r="K1616" s="42"/>
      <c r="L1616" s="42"/>
    </row>
    <row r="1617" spans="1:12" ht="18.75" customHeight="1" x14ac:dyDescent="0.25">
      <c r="A1617" s="132"/>
      <c r="B1617" s="42" t="s">
        <v>435</v>
      </c>
      <c r="C1617" s="133"/>
      <c r="D1617" s="133"/>
      <c r="E1617" s="133"/>
      <c r="F1617" s="133"/>
      <c r="G1617" s="30" t="s">
        <v>437</v>
      </c>
      <c r="H1617" s="138">
        <f>'Process (6)'!H46</f>
        <v>1.3798215330773709</v>
      </c>
      <c r="I1617" s="142" t="s">
        <v>2</v>
      </c>
      <c r="J1617" s="42"/>
      <c r="K1617" s="42"/>
      <c r="L1617" s="42"/>
    </row>
    <row r="1618" spans="1:12" ht="18.75" customHeight="1" x14ac:dyDescent="0.25">
      <c r="A1618" s="132"/>
      <c r="B1618" s="42" t="s">
        <v>115</v>
      </c>
      <c r="C1618" s="133"/>
      <c r="D1618" s="133"/>
      <c r="E1618" s="133"/>
      <c r="F1618" s="133"/>
      <c r="G1618" s="30" t="s">
        <v>438</v>
      </c>
      <c r="H1618" s="138">
        <f>'Process (6)'!H47</f>
        <v>0.75140420751785886</v>
      </c>
      <c r="I1618" s="142" t="s">
        <v>128</v>
      </c>
      <c r="J1618" s="42"/>
      <c r="K1618" s="42"/>
      <c r="L1618" s="42"/>
    </row>
    <row r="1619" spans="1:12" ht="18.75" customHeight="1" x14ac:dyDescent="0.25">
      <c r="A1619" s="132"/>
      <c r="B1619" s="42" t="s">
        <v>434</v>
      </c>
      <c r="C1619" s="133"/>
      <c r="D1619" s="133"/>
      <c r="E1619" s="133"/>
      <c r="F1619" s="133"/>
      <c r="G1619" s="136" t="s">
        <v>422</v>
      </c>
      <c r="H1619" s="138">
        <f>'Process (6)'!H48</f>
        <v>1.1798215330773709</v>
      </c>
      <c r="I1619" s="142" t="s">
        <v>2</v>
      </c>
      <c r="J1619" s="42"/>
      <c r="K1619" s="42"/>
      <c r="L1619" s="42"/>
    </row>
    <row r="1620" spans="1:12" ht="18.75" customHeight="1" x14ac:dyDescent="0.25">
      <c r="A1620" s="132"/>
      <c r="B1620" s="133" t="s">
        <v>830</v>
      </c>
      <c r="C1620" s="133"/>
      <c r="D1620" s="133"/>
      <c r="E1620" s="133"/>
      <c r="F1620" s="133"/>
      <c r="J1620" s="42"/>
      <c r="K1620" s="42"/>
      <c r="L1620" s="42"/>
    </row>
    <row r="1621" spans="1:12" ht="18.75" customHeight="1" x14ac:dyDescent="0.25">
      <c r="A1621" s="132"/>
      <c r="B1621" s="133"/>
      <c r="C1621" s="133"/>
      <c r="D1621" s="133"/>
      <c r="E1621" s="133"/>
      <c r="F1621" s="133"/>
      <c r="G1621" s="136" t="s">
        <v>829</v>
      </c>
      <c r="H1621" s="138">
        <f>'Process (6)'!H49</f>
        <v>6417.1200000000026</v>
      </c>
      <c r="I1621" s="142" t="s">
        <v>411</v>
      </c>
      <c r="J1621" s="42"/>
      <c r="K1621" s="42"/>
      <c r="L1621" s="42"/>
    </row>
    <row r="1622" spans="1:12" ht="18.75" customHeight="1" x14ac:dyDescent="0.25">
      <c r="A1622" s="132"/>
      <c r="B1622" s="133" t="s">
        <v>427</v>
      </c>
      <c r="C1622" s="133"/>
      <c r="D1622" s="133"/>
      <c r="E1622" s="133"/>
      <c r="F1622" s="133"/>
      <c r="G1622" s="441" t="s">
        <v>1168</v>
      </c>
      <c r="H1622" s="138">
        <f>'Process (6)'!H50</f>
        <v>7.8007036135837104</v>
      </c>
      <c r="I1622" s="142" t="s">
        <v>39</v>
      </c>
      <c r="J1622" s="42"/>
      <c r="K1622" s="42"/>
      <c r="L1622" s="42"/>
    </row>
    <row r="1623" spans="1:12" ht="18.75" customHeight="1" x14ac:dyDescent="0.25">
      <c r="A1623" s="132"/>
      <c r="B1623" s="133" t="s">
        <v>426</v>
      </c>
      <c r="C1623" s="133"/>
      <c r="D1623" s="133"/>
      <c r="E1623" s="133"/>
      <c r="F1623" s="133"/>
      <c r="J1623" s="42"/>
      <c r="K1623" s="42"/>
      <c r="L1623" s="42"/>
    </row>
    <row r="1624" spans="1:12" ht="18.75" customHeight="1" x14ac:dyDescent="0.25">
      <c r="A1624" s="132"/>
      <c r="B1624" s="133"/>
      <c r="C1624" s="133"/>
      <c r="D1624" s="133"/>
      <c r="E1624" s="133"/>
      <c r="F1624" s="133"/>
      <c r="G1624" s="136" t="s">
        <v>420</v>
      </c>
      <c r="H1624" s="138">
        <f>'Process (6)'!H51</f>
        <v>32.085600000000014</v>
      </c>
      <c r="I1624" s="142" t="s">
        <v>39</v>
      </c>
      <c r="J1624" s="42"/>
      <c r="K1624" s="42"/>
      <c r="L1624" s="42"/>
    </row>
    <row r="1625" spans="1:12" ht="18.75" customHeight="1" x14ac:dyDescent="0.25">
      <c r="A1625" s="132"/>
      <c r="B1625" s="89" t="s">
        <v>428</v>
      </c>
      <c r="C1625" s="89"/>
      <c r="D1625" s="89"/>
      <c r="E1625" s="89"/>
      <c r="F1625" s="89"/>
      <c r="G1625" s="89"/>
      <c r="H1625" s="128"/>
      <c r="I1625" s="143"/>
      <c r="J1625" s="42"/>
      <c r="K1625" s="42"/>
      <c r="L1625" s="42"/>
    </row>
    <row r="1626" spans="1:12" ht="18.75" customHeight="1" x14ac:dyDescent="0.25">
      <c r="A1626" s="132"/>
      <c r="B1626" s="89"/>
      <c r="C1626" s="89"/>
      <c r="D1626" s="89"/>
      <c r="E1626" s="133"/>
      <c r="F1626" s="133"/>
      <c r="G1626" s="441" t="s">
        <v>1169</v>
      </c>
      <c r="H1626" s="137">
        <f>'Process (6)'!H53</f>
        <v>22.595652980867989</v>
      </c>
      <c r="I1626" s="142" t="str">
        <f>IF(H1626&gt;=0,"mm (↓)","mm (↑)")</f>
        <v>mm (↓)</v>
      </c>
      <c r="J1626" s="42"/>
      <c r="K1626" s="42"/>
      <c r="L1626" s="42"/>
    </row>
    <row r="1627" spans="1:12" ht="18.75" customHeight="1" x14ac:dyDescent="0.25">
      <c r="A1627" s="132"/>
      <c r="B1627" s="89"/>
      <c r="C1627" s="133"/>
      <c r="D1627" s="133"/>
      <c r="E1627" s="89"/>
      <c r="F1627" s="89"/>
      <c r="G1627" s="89"/>
      <c r="H1627" s="133"/>
      <c r="I1627" s="134"/>
      <c r="J1627" s="42"/>
      <c r="K1627" s="42"/>
      <c r="L1627" s="42"/>
    </row>
    <row r="1628" spans="1:12" ht="18.75" customHeight="1" x14ac:dyDescent="0.25">
      <c r="A1628" s="132"/>
      <c r="B1628" s="133" t="s">
        <v>429</v>
      </c>
      <c r="C1628" s="127" t="s">
        <v>430</v>
      </c>
      <c r="D1628" s="128" t="s">
        <v>362</v>
      </c>
      <c r="E1628" s="128" t="s">
        <v>431</v>
      </c>
      <c r="F1628" s="89"/>
      <c r="G1628" s="133"/>
      <c r="H1628" s="134"/>
      <c r="I1628" s="128"/>
      <c r="J1628" s="42"/>
      <c r="K1628" s="42"/>
      <c r="L1628" s="42"/>
    </row>
    <row r="1629" spans="1:12" ht="18.75" customHeight="1" x14ac:dyDescent="0.25">
      <c r="A1629" s="132"/>
      <c r="B1629" s="133"/>
      <c r="C1629" s="129">
        <f>'Process (6)'!C56</f>
        <v>22.595652980867989</v>
      </c>
      <c r="D1629" s="130" t="str">
        <f>IF(C1629&lt;E1629,"&lt;","&gt;")</f>
        <v>&lt;</v>
      </c>
      <c r="E1629" s="129">
        <f>'Process (6)'!E56</f>
        <v>133.33333333333334</v>
      </c>
      <c r="F1629" s="89"/>
      <c r="G1629" s="131" t="s">
        <v>363</v>
      </c>
      <c r="H1629" s="132" t="str">
        <f>IF(C1629&lt;E1629,"[ OK ]","[ NOT OK ]")</f>
        <v>[ OK ]</v>
      </c>
      <c r="I1629" s="128"/>
      <c r="J1629" s="42"/>
      <c r="K1629" s="42"/>
      <c r="L1629" s="42"/>
    </row>
    <row r="1630" spans="1:12" ht="18.75" customHeight="1" x14ac:dyDescent="0.25">
      <c r="A1630" s="132"/>
      <c r="B1630" s="89"/>
      <c r="C1630" s="89"/>
      <c r="D1630" s="89"/>
      <c r="E1630" s="89"/>
      <c r="F1630" s="89"/>
      <c r="G1630" s="89"/>
      <c r="H1630" s="89"/>
      <c r="I1630" s="128"/>
      <c r="J1630" s="42"/>
      <c r="K1630" s="42"/>
      <c r="L1630" s="42"/>
    </row>
    <row r="1631" spans="1:12" ht="18.75" customHeight="1" x14ac:dyDescent="0.25">
      <c r="A1631" s="132" t="s">
        <v>863</v>
      </c>
      <c r="B1631" s="528" t="s">
        <v>833</v>
      </c>
      <c r="C1631" s="89"/>
      <c r="D1631" s="89"/>
      <c r="E1631" s="89"/>
      <c r="F1631" s="89"/>
      <c r="G1631" s="89"/>
      <c r="H1631" s="89"/>
      <c r="I1631" s="128"/>
      <c r="J1631" s="42"/>
      <c r="K1631" s="42"/>
      <c r="L1631" s="42"/>
    </row>
    <row r="1632" spans="1:12" ht="18.75" customHeight="1" x14ac:dyDescent="0.25">
      <c r="A1632" s="132"/>
      <c r="B1632" s="42" t="s">
        <v>423</v>
      </c>
      <c r="C1632" s="133"/>
      <c r="D1632" s="89"/>
      <c r="E1632" s="89"/>
      <c r="F1632" s="89"/>
      <c r="G1632" s="136" t="s">
        <v>412</v>
      </c>
      <c r="H1632" s="500">
        <f>'Process (6)'!H59</f>
        <v>33234018.715767734</v>
      </c>
      <c r="I1632" s="142" t="s">
        <v>135</v>
      </c>
      <c r="J1632" s="42"/>
      <c r="K1632" s="42"/>
      <c r="L1632" s="42"/>
    </row>
    <row r="1633" spans="1:12" ht="18.75" customHeight="1" x14ac:dyDescent="0.25">
      <c r="A1633" s="132"/>
      <c r="B1633" s="42" t="s">
        <v>115</v>
      </c>
      <c r="C1633" s="133"/>
      <c r="D1633" s="89"/>
      <c r="E1633" s="89"/>
      <c r="F1633" s="89"/>
      <c r="G1633" s="136" t="s">
        <v>408</v>
      </c>
      <c r="H1633" s="138">
        <f>'Process (6)'!H60</f>
        <v>0.75140420751785886</v>
      </c>
      <c r="I1633" s="142" t="s">
        <v>128</v>
      </c>
      <c r="J1633" s="42"/>
      <c r="K1633" s="42"/>
      <c r="L1633" s="42"/>
    </row>
    <row r="1634" spans="1:12" ht="18.75" customHeight="1" x14ac:dyDescent="0.25">
      <c r="A1634" s="132"/>
      <c r="B1634" s="42" t="s">
        <v>20</v>
      </c>
      <c r="C1634" s="133"/>
      <c r="D1634" s="89"/>
      <c r="E1634" s="89"/>
      <c r="F1634" s="89"/>
      <c r="G1634" s="136" t="s">
        <v>21</v>
      </c>
      <c r="H1634" s="137">
        <f>'Process (6)'!H61</f>
        <v>40</v>
      </c>
      <c r="I1634" s="142" t="s">
        <v>128</v>
      </c>
      <c r="J1634" s="42"/>
      <c r="K1634" s="42"/>
      <c r="L1634" s="42"/>
    </row>
    <row r="1635" spans="1:12" ht="18.75" customHeight="1" x14ac:dyDescent="0.25">
      <c r="A1635" s="132"/>
      <c r="B1635" s="133" t="s">
        <v>443</v>
      </c>
      <c r="C1635" s="133"/>
      <c r="D1635" s="89"/>
      <c r="E1635" s="89"/>
      <c r="F1635" s="89"/>
      <c r="G1635" s="136" t="s">
        <v>418</v>
      </c>
      <c r="H1635" s="138">
        <f>'Process (6)'!H62</f>
        <v>7579.4128750556474</v>
      </c>
      <c r="I1635" s="142" t="s">
        <v>40</v>
      </c>
      <c r="J1635" s="42"/>
      <c r="K1635" s="42"/>
      <c r="L1635" s="42"/>
    </row>
    <row r="1636" spans="1:12" ht="18.75" customHeight="1" x14ac:dyDescent="0.25">
      <c r="A1636" s="132"/>
      <c r="B1636" s="42" t="s">
        <v>434</v>
      </c>
      <c r="C1636" s="133"/>
      <c r="D1636" s="89"/>
      <c r="E1636" s="89"/>
      <c r="F1636" s="89"/>
      <c r="G1636" s="136" t="s">
        <v>439</v>
      </c>
      <c r="H1636" s="138">
        <f>'Process (6)'!H63</f>
        <v>1.1798215330773709</v>
      </c>
      <c r="I1636" s="142" t="s">
        <v>2</v>
      </c>
      <c r="J1636" s="42"/>
      <c r="K1636" s="42"/>
      <c r="L1636" s="42"/>
    </row>
    <row r="1637" spans="1:12" ht="18.75" customHeight="1" x14ac:dyDescent="0.25">
      <c r="A1637" s="132"/>
      <c r="B1637" s="89"/>
      <c r="C1637" s="89"/>
      <c r="D1637" s="89"/>
      <c r="E1637" s="89"/>
      <c r="F1637" s="89"/>
      <c r="G1637" s="89"/>
      <c r="H1637" s="128"/>
      <c r="I1637" s="143"/>
      <c r="J1637" s="42"/>
      <c r="K1637" s="42"/>
      <c r="L1637" s="42"/>
    </row>
    <row r="1638" spans="1:12" ht="18.75" customHeight="1" x14ac:dyDescent="0.25">
      <c r="A1638" s="132" t="s">
        <v>1328</v>
      </c>
      <c r="B1638" s="528" t="s">
        <v>524</v>
      </c>
      <c r="C1638" s="133"/>
      <c r="D1638" s="133"/>
      <c r="E1638" s="133"/>
      <c r="F1638" s="133"/>
      <c r="G1638" s="133"/>
      <c r="H1638" s="134"/>
      <c r="I1638" s="142"/>
      <c r="J1638" s="42"/>
      <c r="K1638" s="42"/>
      <c r="L1638" s="42"/>
    </row>
    <row r="1639" spans="1:12" ht="18.75" customHeight="1" x14ac:dyDescent="0.25">
      <c r="A1639" s="132"/>
      <c r="B1639" s="133" t="s">
        <v>445</v>
      </c>
      <c r="C1639" s="133"/>
      <c r="D1639" s="133"/>
      <c r="E1639" s="133"/>
      <c r="F1639" s="133"/>
      <c r="G1639" s="136" t="s">
        <v>448</v>
      </c>
      <c r="H1639" s="138">
        <f>'Process (6)'!H66</f>
        <v>4467.6896000000006</v>
      </c>
      <c r="I1639" s="142" t="s">
        <v>42</v>
      </c>
      <c r="J1639" s="42"/>
      <c r="K1639" s="42"/>
      <c r="L1639" s="42"/>
    </row>
    <row r="1640" spans="1:12" ht="18.75" customHeight="1" x14ac:dyDescent="0.25">
      <c r="A1640" s="132"/>
      <c r="B1640" s="133" t="s">
        <v>830</v>
      </c>
      <c r="C1640" s="133"/>
      <c r="D1640" s="133"/>
      <c r="E1640" s="133"/>
      <c r="F1640" s="133"/>
      <c r="G1640" s="136" t="s">
        <v>448</v>
      </c>
      <c r="H1640" s="138">
        <f>'Process (6)'!H67</f>
        <v>6417.1200000000026</v>
      </c>
      <c r="I1640" s="142" t="s">
        <v>42</v>
      </c>
      <c r="J1640" s="42"/>
      <c r="K1640" s="42"/>
      <c r="L1640" s="42"/>
    </row>
    <row r="1641" spans="1:12" ht="18.75" customHeight="1" x14ac:dyDescent="0.25">
      <c r="A1641" s="132"/>
      <c r="B1641" s="528"/>
      <c r="C1641" s="133"/>
      <c r="D1641" s="133"/>
      <c r="E1641" s="133"/>
      <c r="F1641" s="133"/>
      <c r="G1641" s="136" t="s">
        <v>448</v>
      </c>
      <c r="H1641" s="138">
        <f>'Process (6)'!H68</f>
        <v>6417.1200000000026</v>
      </c>
      <c r="I1641" s="142" t="s">
        <v>42</v>
      </c>
      <c r="J1641" s="42"/>
      <c r="K1641" s="42"/>
      <c r="L1641" s="42"/>
    </row>
    <row r="1642" spans="1:12" ht="18.75" customHeight="1" x14ac:dyDescent="0.25">
      <c r="A1642" s="132"/>
      <c r="B1642" s="89" t="s">
        <v>446</v>
      </c>
      <c r="C1642" s="133"/>
      <c r="D1642" s="133"/>
      <c r="E1642" s="133"/>
      <c r="F1642" s="133"/>
      <c r="G1642" s="136" t="s">
        <v>472</v>
      </c>
      <c r="H1642" s="137">
        <f>'Process (6)'!H69</f>
        <v>42.828456944452412</v>
      </c>
      <c r="I1642" s="142" t="str">
        <f>IF(H1642&gt;=0,"mm (↓)","mm (↑)")</f>
        <v>mm (↓)</v>
      </c>
      <c r="J1642" s="42"/>
      <c r="K1642" s="42"/>
      <c r="L1642" s="42"/>
    </row>
    <row r="1643" spans="1:12" ht="18.75" customHeight="1" x14ac:dyDescent="0.25">
      <c r="A1643" s="132"/>
      <c r="B1643" s="89"/>
      <c r="C1643" s="89"/>
      <c r="D1643" s="89"/>
      <c r="E1643" s="89"/>
      <c r="F1643" s="89"/>
      <c r="G1643" s="89"/>
      <c r="H1643" s="128"/>
      <c r="I1643" s="143"/>
      <c r="J1643" s="42"/>
      <c r="K1643" s="42"/>
      <c r="L1643" s="42"/>
    </row>
    <row r="1644" spans="1:12" ht="18.75" customHeight="1" x14ac:dyDescent="0.25">
      <c r="A1644" s="132" t="s">
        <v>1329</v>
      </c>
      <c r="B1644" s="528" t="s">
        <v>525</v>
      </c>
      <c r="C1644" s="133"/>
      <c r="D1644" s="133"/>
      <c r="E1644" s="133"/>
      <c r="F1644" s="133"/>
      <c r="G1644" s="133"/>
      <c r="H1644" s="134"/>
      <c r="I1644" s="142"/>
      <c r="J1644" s="42"/>
      <c r="K1644" s="42"/>
      <c r="L1644" s="42"/>
    </row>
    <row r="1645" spans="1:12" ht="18.75" customHeight="1" x14ac:dyDescent="0.25">
      <c r="A1645" s="132"/>
      <c r="B1645" s="133" t="s">
        <v>447</v>
      </c>
      <c r="C1645" s="133"/>
      <c r="D1645" s="133"/>
      <c r="E1645" s="133"/>
      <c r="F1645" s="133"/>
      <c r="G1645" s="136" t="s">
        <v>449</v>
      </c>
      <c r="H1645" s="139">
        <f>'Process (6)'!H72</f>
        <v>922.42470000000003</v>
      </c>
      <c r="I1645" s="142" t="s">
        <v>42</v>
      </c>
      <c r="J1645" s="42"/>
      <c r="K1645" s="42"/>
      <c r="L1645" s="42"/>
    </row>
    <row r="1646" spans="1:12" ht="18.75" customHeight="1" x14ac:dyDescent="0.25">
      <c r="A1646" s="132"/>
      <c r="B1646" s="89" t="s">
        <v>453</v>
      </c>
      <c r="C1646" s="133"/>
      <c r="D1646" s="133"/>
      <c r="E1646" s="133"/>
      <c r="F1646" s="133"/>
      <c r="J1646" s="42"/>
      <c r="K1646" s="42"/>
      <c r="L1646" s="42"/>
    </row>
    <row r="1647" spans="1:12" ht="18.75" customHeight="1" x14ac:dyDescent="0.25">
      <c r="A1647" s="132"/>
      <c r="B1647" s="89"/>
      <c r="C1647" s="133"/>
      <c r="D1647" s="133"/>
      <c r="E1647" s="133"/>
      <c r="F1647" s="133"/>
      <c r="G1647" s="136" t="s">
        <v>471</v>
      </c>
      <c r="H1647" s="137">
        <f>'Process (6)'!H73</f>
        <v>6.1563484161819355</v>
      </c>
      <c r="I1647" s="142" t="str">
        <f>IF(H1647&gt;=0,"mm (↓)","mm (↑)")</f>
        <v>mm (↓)</v>
      </c>
      <c r="J1647" s="42"/>
      <c r="K1647" s="42"/>
      <c r="L1647" s="42"/>
    </row>
    <row r="1648" spans="1:12" ht="18.75" customHeight="1" x14ac:dyDescent="0.25">
      <c r="A1648" s="132"/>
      <c r="B1648" s="89"/>
      <c r="C1648" s="89"/>
      <c r="D1648" s="89"/>
      <c r="E1648" s="89"/>
      <c r="F1648" s="89"/>
      <c r="G1648" s="89"/>
      <c r="H1648" s="128"/>
      <c r="I1648" s="143"/>
      <c r="J1648" s="42"/>
      <c r="K1648" s="42"/>
      <c r="L1648" s="42"/>
    </row>
    <row r="1649" spans="1:12" ht="18.75" customHeight="1" x14ac:dyDescent="0.25">
      <c r="A1649" s="132" t="s">
        <v>1330</v>
      </c>
      <c r="B1649" s="528" t="s">
        <v>526</v>
      </c>
      <c r="C1649" s="133"/>
      <c r="D1649" s="133"/>
      <c r="E1649" s="133"/>
      <c r="F1649" s="133"/>
      <c r="G1649" s="133"/>
      <c r="H1649" s="134"/>
      <c r="I1649" s="142"/>
      <c r="J1649" s="42"/>
      <c r="K1649" s="42"/>
      <c r="L1649" s="42"/>
    </row>
    <row r="1650" spans="1:12" ht="18.75" customHeight="1" x14ac:dyDescent="0.25">
      <c r="A1650" s="132"/>
      <c r="B1650" s="133" t="s">
        <v>450</v>
      </c>
      <c r="C1650" s="133"/>
      <c r="D1650" s="133"/>
      <c r="E1650" s="133"/>
      <c r="F1650" s="133"/>
      <c r="G1650" s="136" t="s">
        <v>831</v>
      </c>
      <c r="H1650" s="139">
        <f>'Process (6)'!H76</f>
        <v>6154.1077933553097</v>
      </c>
      <c r="I1650" s="142" t="s">
        <v>42</v>
      </c>
      <c r="J1650" s="42"/>
      <c r="K1650" s="42"/>
      <c r="L1650" s="42"/>
    </row>
    <row r="1651" spans="1:12" ht="18.75" customHeight="1" x14ac:dyDescent="0.25">
      <c r="A1651" s="132"/>
      <c r="B1651" s="89" t="s">
        <v>452</v>
      </c>
      <c r="C1651" s="133"/>
      <c r="D1651" s="133"/>
      <c r="E1651" s="133"/>
      <c r="F1651" s="133"/>
      <c r="G1651" s="136" t="s">
        <v>470</v>
      </c>
      <c r="H1651" s="137">
        <f>'Process (6)'!H77</f>
        <v>-41.073088965024318</v>
      </c>
      <c r="I1651" s="142" t="str">
        <f>IF(H1651&gt;=0,"mm (↓)","mm (↑)")</f>
        <v>mm (↑)</v>
      </c>
      <c r="J1651" s="42"/>
      <c r="K1651" s="42"/>
      <c r="L1651" s="42"/>
    </row>
    <row r="1652" spans="1:12" ht="18.75" customHeight="1" x14ac:dyDescent="0.25">
      <c r="A1652" s="132"/>
      <c r="B1652" s="89"/>
      <c r="C1652" s="89"/>
      <c r="D1652" s="89"/>
      <c r="E1652" s="89"/>
      <c r="F1652" s="89"/>
      <c r="G1652" s="89"/>
      <c r="H1652" s="89"/>
      <c r="I1652" s="128"/>
      <c r="J1652" s="42"/>
      <c r="K1652" s="42"/>
      <c r="L1652" s="42"/>
    </row>
    <row r="1653" spans="1:12" ht="18.75" customHeight="1" x14ac:dyDescent="0.25">
      <c r="A1653" s="132" t="s">
        <v>1331</v>
      </c>
      <c r="B1653" s="528" t="s">
        <v>527</v>
      </c>
      <c r="C1653" s="133"/>
      <c r="D1653" s="133"/>
      <c r="E1653" s="133"/>
      <c r="F1653" s="133"/>
      <c r="G1653" s="133"/>
      <c r="H1653" s="133"/>
      <c r="I1653" s="134"/>
      <c r="J1653" s="42"/>
      <c r="K1653" s="42"/>
      <c r="L1653" s="42"/>
    </row>
    <row r="1654" spans="1:12" ht="18.75" customHeight="1" x14ac:dyDescent="0.25">
      <c r="A1654" s="132"/>
      <c r="B1654" s="133" t="s">
        <v>451</v>
      </c>
      <c r="C1654" s="133"/>
      <c r="D1654" s="133"/>
      <c r="E1654" s="133"/>
      <c r="F1654" s="133"/>
      <c r="G1654" s="136" t="s">
        <v>456</v>
      </c>
      <c r="H1654" s="137">
        <f>'Process (6)'!H80</f>
        <v>2875.4180000000001</v>
      </c>
      <c r="I1654" s="142" t="s">
        <v>42</v>
      </c>
      <c r="J1654" s="42"/>
      <c r="K1654" s="42"/>
      <c r="L1654" s="42"/>
    </row>
    <row r="1655" spans="1:12" ht="18.75" customHeight="1" x14ac:dyDescent="0.25">
      <c r="A1655" s="132"/>
      <c r="B1655" s="89" t="s">
        <v>454</v>
      </c>
      <c r="C1655" s="133"/>
      <c r="D1655" s="133"/>
      <c r="E1655" s="133"/>
      <c r="F1655" s="133"/>
      <c r="G1655" s="136" t="s">
        <v>469</v>
      </c>
      <c r="H1655" s="137">
        <f>'Process (6)'!H81</f>
        <v>19.19080771596969</v>
      </c>
      <c r="I1655" s="142" t="str">
        <f>IF(H1655&gt;=0,"mm (↓)","mm (↑)")</f>
        <v>mm (↓)</v>
      </c>
      <c r="J1655" s="42"/>
      <c r="K1655" s="42"/>
      <c r="L1655" s="42"/>
    </row>
    <row r="1656" spans="1:12" ht="18.75" customHeight="1" x14ac:dyDescent="0.25">
      <c r="A1656" s="132"/>
      <c r="B1656" s="89"/>
      <c r="C1656" s="89"/>
      <c r="D1656" s="89"/>
      <c r="E1656" s="89"/>
      <c r="F1656" s="89"/>
      <c r="G1656" s="89"/>
      <c r="H1656" s="128"/>
      <c r="I1656" s="143"/>
      <c r="J1656" s="42"/>
      <c r="K1656" s="42"/>
      <c r="L1656" s="42"/>
    </row>
    <row r="1657" spans="1:12" ht="18.75" customHeight="1" x14ac:dyDescent="0.25">
      <c r="A1657" s="132" t="s">
        <v>1332</v>
      </c>
      <c r="B1657" s="528" t="s">
        <v>528</v>
      </c>
      <c r="C1657" s="133"/>
      <c r="D1657" s="133"/>
      <c r="E1657" s="133"/>
      <c r="F1657" s="133"/>
      <c r="G1657" s="133"/>
      <c r="H1657" s="134"/>
      <c r="I1657" s="142"/>
      <c r="J1657" s="42"/>
      <c r="K1657" s="42"/>
      <c r="L1657" s="42"/>
    </row>
    <row r="1658" spans="1:12" ht="18.75" customHeight="1" x14ac:dyDescent="0.25">
      <c r="A1658" s="132"/>
      <c r="B1658" s="133" t="s">
        <v>455</v>
      </c>
      <c r="C1658" s="133"/>
      <c r="D1658" s="133"/>
      <c r="E1658" s="133"/>
      <c r="F1658" s="133"/>
      <c r="G1658" s="136" t="s">
        <v>444</v>
      </c>
      <c r="H1658" s="137">
        <f>'Process (6)'!H84</f>
        <v>4182.8500000000004</v>
      </c>
      <c r="I1658" s="142" t="s">
        <v>42</v>
      </c>
      <c r="J1658" s="42"/>
      <c r="K1658" s="42"/>
      <c r="L1658" s="42"/>
    </row>
    <row r="1659" spans="1:12" ht="18.75" customHeight="1" x14ac:dyDescent="0.25">
      <c r="A1659" s="132"/>
      <c r="B1659" s="89" t="s">
        <v>457</v>
      </c>
      <c r="C1659" s="133"/>
      <c r="D1659" s="133"/>
      <c r="E1659" s="133"/>
      <c r="F1659" s="133"/>
      <c r="G1659" s="136" t="s">
        <v>468</v>
      </c>
      <c r="H1659" s="137">
        <f>'Process (6)'!H85</f>
        <v>27.916730734364126</v>
      </c>
      <c r="I1659" s="142" t="str">
        <f>IF(H1659&gt;=0,"mm (↓)","mm (↑)")</f>
        <v>mm (↓)</v>
      </c>
      <c r="J1659" s="42"/>
      <c r="K1659" s="42"/>
      <c r="L1659" s="42"/>
    </row>
    <row r="1660" spans="1:12" ht="18.75" customHeight="1" x14ac:dyDescent="0.25">
      <c r="A1660" s="132"/>
      <c r="B1660" s="89"/>
      <c r="C1660" s="89"/>
      <c r="D1660" s="89"/>
      <c r="E1660" s="89"/>
      <c r="F1660" s="89"/>
      <c r="G1660" s="89"/>
      <c r="H1660" s="128"/>
      <c r="I1660" s="143"/>
      <c r="J1660" s="42"/>
      <c r="K1660" s="42"/>
      <c r="L1660" s="42"/>
    </row>
    <row r="1661" spans="1:12" ht="18.75" customHeight="1" x14ac:dyDescent="0.25">
      <c r="A1661" s="132"/>
      <c r="B1661" s="89"/>
      <c r="C1661" s="89"/>
      <c r="D1661" s="89"/>
      <c r="E1661" s="89"/>
      <c r="F1661" s="89"/>
      <c r="G1661" s="89"/>
      <c r="H1661" s="128"/>
      <c r="I1661" s="143"/>
      <c r="J1661" s="42"/>
      <c r="K1661" s="42"/>
      <c r="L1661" s="42"/>
    </row>
    <row r="1662" spans="1:12" ht="18.75" customHeight="1" x14ac:dyDescent="0.25">
      <c r="A1662" s="132" t="s">
        <v>1333</v>
      </c>
      <c r="B1662" s="528" t="s">
        <v>529</v>
      </c>
      <c r="C1662" s="133"/>
      <c r="D1662" s="133"/>
      <c r="E1662" s="133"/>
      <c r="F1662" s="133"/>
      <c r="G1662" s="133"/>
      <c r="H1662" s="134"/>
      <c r="I1662" s="142"/>
      <c r="J1662" s="42"/>
      <c r="K1662" s="42"/>
      <c r="L1662" s="42"/>
    </row>
    <row r="1663" spans="1:12" ht="18.75" customHeight="1" x14ac:dyDescent="0.25">
      <c r="A1663" s="132"/>
      <c r="B1663" s="133" t="s">
        <v>458</v>
      </c>
      <c r="C1663" s="133"/>
      <c r="D1663" s="133"/>
      <c r="E1663" s="133"/>
      <c r="F1663" s="133"/>
      <c r="G1663" s="136" t="s">
        <v>441</v>
      </c>
      <c r="H1663" s="137">
        <f>'Process (6)'!H88</f>
        <v>67.811554004130784</v>
      </c>
      <c r="I1663" s="142" t="s">
        <v>42</v>
      </c>
      <c r="J1663" s="42"/>
      <c r="K1663" s="42"/>
      <c r="L1663" s="42"/>
    </row>
    <row r="1664" spans="1:12" ht="18.75" customHeight="1" x14ac:dyDescent="0.25">
      <c r="A1664" s="132"/>
      <c r="B1664" s="89" t="s">
        <v>459</v>
      </c>
      <c r="C1664" s="133"/>
      <c r="D1664" s="133"/>
      <c r="E1664" s="133"/>
      <c r="F1664" s="133"/>
      <c r="G1664" s="136" t="s">
        <v>467</v>
      </c>
      <c r="H1664" s="137">
        <f>'Process (6)'!H89</f>
        <v>-0.45258063134277121</v>
      </c>
      <c r="I1664" s="142" t="str">
        <f>IF(H1664&gt;=0,"mm (↓)","mm (↑)")</f>
        <v>mm (↑)</v>
      </c>
      <c r="J1664" s="42"/>
      <c r="K1664" s="42"/>
      <c r="L1664" s="42"/>
    </row>
    <row r="1665" spans="1:12" ht="18.75" customHeight="1" x14ac:dyDescent="0.25">
      <c r="A1665" s="132"/>
      <c r="B1665" s="89"/>
      <c r="C1665" s="89"/>
      <c r="D1665" s="89"/>
      <c r="E1665" s="89"/>
      <c r="F1665" s="89"/>
      <c r="G1665" s="89"/>
      <c r="H1665" s="128"/>
      <c r="I1665" s="143"/>
      <c r="J1665" s="42"/>
      <c r="K1665" s="42"/>
      <c r="L1665" s="42"/>
    </row>
    <row r="1666" spans="1:12" ht="18.75" customHeight="1" x14ac:dyDescent="0.25">
      <c r="A1666" s="132" t="s">
        <v>1334</v>
      </c>
      <c r="B1666" s="528" t="s">
        <v>530</v>
      </c>
      <c r="C1666" s="133"/>
      <c r="D1666" s="133"/>
      <c r="E1666" s="133"/>
      <c r="F1666" s="133"/>
      <c r="G1666" s="133"/>
      <c r="H1666" s="134"/>
      <c r="I1666" s="142"/>
      <c r="J1666" s="42"/>
      <c r="K1666" s="42"/>
      <c r="L1666" s="42"/>
    </row>
    <row r="1667" spans="1:12" ht="18.75" customHeight="1" x14ac:dyDescent="0.25">
      <c r="A1667" s="132"/>
      <c r="B1667" s="133" t="s">
        <v>460</v>
      </c>
      <c r="C1667" s="133"/>
      <c r="D1667" s="133"/>
      <c r="E1667" s="133"/>
      <c r="F1667" s="133"/>
      <c r="G1667" s="136" t="s">
        <v>463</v>
      </c>
      <c r="H1667" s="138">
        <f>'Process (6)'!H92</f>
        <v>150.17142857142858</v>
      </c>
      <c r="I1667" s="142" t="s">
        <v>42</v>
      </c>
      <c r="J1667" s="42"/>
      <c r="K1667" s="42"/>
      <c r="L1667" s="42"/>
    </row>
    <row r="1668" spans="1:12" ht="18.75" customHeight="1" x14ac:dyDescent="0.25">
      <c r="A1668" s="132"/>
      <c r="B1668" s="133" t="s">
        <v>461</v>
      </c>
      <c r="C1668" s="133"/>
      <c r="D1668" s="133"/>
      <c r="E1668" s="133"/>
      <c r="F1668" s="133"/>
      <c r="G1668" s="136" t="s">
        <v>464</v>
      </c>
      <c r="H1668" s="138">
        <f>'Process (6)'!H93</f>
        <v>910.97692624888373</v>
      </c>
      <c r="I1668" s="142" t="s">
        <v>42</v>
      </c>
      <c r="J1668" s="42"/>
      <c r="K1668" s="42"/>
      <c r="L1668" s="42"/>
    </row>
    <row r="1669" spans="1:12" ht="18.75" customHeight="1" x14ac:dyDescent="0.25">
      <c r="A1669" s="132"/>
      <c r="B1669" s="89" t="s">
        <v>462</v>
      </c>
      <c r="C1669" s="133"/>
      <c r="D1669" s="133"/>
      <c r="E1669" s="133"/>
      <c r="F1669" s="133"/>
      <c r="J1669" s="42"/>
      <c r="K1669" s="42"/>
      <c r="L1669" s="42"/>
    </row>
    <row r="1670" spans="1:12" ht="18.75" customHeight="1" x14ac:dyDescent="0.25">
      <c r="A1670" s="132"/>
      <c r="B1670" s="89"/>
      <c r="C1670" s="133"/>
      <c r="D1670" s="133"/>
      <c r="E1670" s="133"/>
      <c r="F1670" s="133"/>
      <c r="G1670" s="136" t="s">
        <v>466</v>
      </c>
      <c r="H1670" s="137">
        <f>'Process (6)'!H94</f>
        <v>7.0822030172566874</v>
      </c>
      <c r="I1670" s="142" t="str">
        <f>IF(H1670&gt;=0,"mm (↓)","mm (↑)")</f>
        <v>mm (↓)</v>
      </c>
      <c r="J1670" s="42"/>
      <c r="K1670" s="42"/>
      <c r="L1670" s="42"/>
    </row>
    <row r="1671" spans="1:12" ht="18.75" customHeight="1" x14ac:dyDescent="0.25">
      <c r="A1671" s="132"/>
      <c r="B1671" s="89"/>
      <c r="C1671" s="89"/>
      <c r="D1671" s="89"/>
      <c r="E1671" s="89"/>
      <c r="F1671" s="89"/>
      <c r="G1671" s="89"/>
      <c r="H1671" s="89"/>
      <c r="I1671" s="128"/>
      <c r="J1671" s="42"/>
      <c r="K1671" s="42"/>
      <c r="L1671" s="42"/>
    </row>
    <row r="1672" spans="1:12" ht="18.75" customHeight="1" x14ac:dyDescent="0.25">
      <c r="A1672" s="132" t="s">
        <v>864</v>
      </c>
      <c r="B1672" s="528" t="s">
        <v>531</v>
      </c>
      <c r="C1672" s="89"/>
      <c r="D1672" s="89"/>
      <c r="E1672" s="89"/>
      <c r="F1672" s="89"/>
      <c r="G1672" s="89"/>
      <c r="H1672" s="89"/>
      <c r="I1672" s="128"/>
      <c r="J1672" s="42"/>
      <c r="K1672" s="42"/>
      <c r="L1672" s="42"/>
    </row>
    <row r="1673" spans="1:12" ht="18.75" customHeight="1" x14ac:dyDescent="0.25">
      <c r="A1673" s="132"/>
      <c r="B1673" s="89" t="s">
        <v>465</v>
      </c>
      <c r="C1673" s="89"/>
      <c r="D1673" s="89"/>
      <c r="E1673" s="89"/>
      <c r="F1673" s="89"/>
      <c r="J1673" s="42"/>
      <c r="K1673" s="42"/>
      <c r="L1673" s="42"/>
    </row>
    <row r="1674" spans="1:12" ht="18.75" customHeight="1" x14ac:dyDescent="0.25">
      <c r="A1674" s="132"/>
      <c r="B1674" s="89"/>
      <c r="C1674" s="89"/>
      <c r="D1674" s="89"/>
      <c r="E1674" s="89"/>
      <c r="F1674" s="89"/>
      <c r="G1674" s="136" t="s">
        <v>832</v>
      </c>
      <c r="H1674" s="140">
        <f>'Process (6)'!H97</f>
        <v>42.45806951588807</v>
      </c>
      <c r="I1674" s="143" t="s">
        <v>5</v>
      </c>
      <c r="J1674" s="42"/>
      <c r="K1674" s="42"/>
      <c r="L1674" s="42"/>
    </row>
    <row r="1675" spans="1:12" ht="18.75" customHeight="1" x14ac:dyDescent="0.25">
      <c r="A1675" s="132"/>
      <c r="B1675" s="133" t="s">
        <v>429</v>
      </c>
      <c r="C1675" s="127" t="s">
        <v>430</v>
      </c>
      <c r="D1675" s="128" t="s">
        <v>362</v>
      </c>
      <c r="E1675" s="128" t="s">
        <v>431</v>
      </c>
      <c r="F1675" s="89"/>
      <c r="G1675" s="133"/>
      <c r="H1675" s="134"/>
      <c r="I1675" s="142"/>
      <c r="J1675" s="42"/>
      <c r="K1675" s="42"/>
      <c r="L1675" s="42"/>
    </row>
    <row r="1676" spans="1:12" ht="18.75" customHeight="1" x14ac:dyDescent="0.25">
      <c r="A1676" s="132"/>
      <c r="B1676" s="133"/>
      <c r="C1676" s="137">
        <f>'Process (6)'!C99</f>
        <v>42.45806951588807</v>
      </c>
      <c r="D1676" s="130" t="str">
        <f>IF(C1676&lt;E1676,"&lt;","&gt;")</f>
        <v>&lt;</v>
      </c>
      <c r="E1676" s="137">
        <f>'Process (6)'!E99</f>
        <v>133.33333333333334</v>
      </c>
      <c r="F1676" s="89"/>
      <c r="G1676" s="131" t="s">
        <v>363</v>
      </c>
      <c r="H1676" s="132" t="str">
        <f>IF(C1676&lt;E1676,"[ OK ]","[ NOT OK ]")</f>
        <v>[ OK ]</v>
      </c>
      <c r="I1676" s="142"/>
      <c r="J1676" s="42"/>
      <c r="K1676" s="42"/>
      <c r="L1676" s="42"/>
    </row>
    <row r="1677" spans="1:12" ht="18.75" customHeight="1" x14ac:dyDescent="0.25">
      <c r="A1677" s="132"/>
      <c r="B1677" s="89"/>
      <c r="C1677" s="89"/>
      <c r="D1677" s="89"/>
      <c r="E1677" s="89"/>
      <c r="F1677" s="89"/>
      <c r="G1677" s="89"/>
      <c r="H1677" s="128"/>
      <c r="I1677" s="143"/>
      <c r="J1677" s="42"/>
      <c r="K1677" s="42"/>
      <c r="L1677" s="42"/>
    </row>
    <row r="1678" spans="1:12" ht="18.75" customHeight="1" x14ac:dyDescent="0.25">
      <c r="A1678" s="132"/>
      <c r="B1678" s="89" t="s">
        <v>473</v>
      </c>
      <c r="C1678" s="89"/>
      <c r="D1678" s="89"/>
      <c r="E1678" s="89"/>
      <c r="F1678" s="89"/>
      <c r="G1678" s="89" t="s">
        <v>474</v>
      </c>
      <c r="H1678" s="25">
        <f>'Process (6)'!H101</f>
        <v>39.59364588754714</v>
      </c>
      <c r="I1678" s="143" t="s">
        <v>5</v>
      </c>
      <c r="J1678" s="42"/>
      <c r="K1678" s="42"/>
      <c r="L1678" s="42"/>
    </row>
    <row r="1679" spans="1:12" ht="18.75" customHeight="1" x14ac:dyDescent="0.25">
      <c r="A1679" s="132"/>
      <c r="B1679" s="133" t="s">
        <v>429</v>
      </c>
      <c r="C1679" s="127" t="s">
        <v>430</v>
      </c>
      <c r="D1679" s="128" t="s">
        <v>362</v>
      </c>
      <c r="E1679" s="128" t="s">
        <v>431</v>
      </c>
      <c r="F1679" s="89"/>
      <c r="G1679" s="133"/>
      <c r="H1679" s="134"/>
      <c r="I1679" s="143"/>
      <c r="J1679" s="42"/>
      <c r="K1679" s="42"/>
      <c r="L1679" s="42"/>
    </row>
    <row r="1680" spans="1:12" ht="18.75" customHeight="1" x14ac:dyDescent="0.25">
      <c r="A1680" s="132"/>
      <c r="B1680" s="133"/>
      <c r="C1680" s="137">
        <f>'Process (6)'!C103</f>
        <v>39.59364588754714</v>
      </c>
      <c r="D1680" s="130" t="str">
        <f>IF(C1680&lt;E1680,"&lt;","&gt;")</f>
        <v>&lt;</v>
      </c>
      <c r="E1680" s="137">
        <f>'Process (6)'!E103</f>
        <v>133.33333333333334</v>
      </c>
      <c r="F1680" s="89"/>
      <c r="G1680" s="131" t="s">
        <v>363</v>
      </c>
      <c r="H1680" s="132" t="str">
        <f>IF(C1680&lt;E1680,"[ OK ]","[ NOT OK ]")</f>
        <v>[ OK ]</v>
      </c>
      <c r="I1680" s="143"/>
      <c r="J1680" s="42"/>
      <c r="K1680" s="42"/>
      <c r="L1680" s="42"/>
    </row>
    <row r="1681" spans="1:12" ht="18.75" customHeight="1" x14ac:dyDescent="0.25">
      <c r="A1681" s="132"/>
      <c r="B1681" s="89"/>
      <c r="C1681" s="89"/>
      <c r="D1681" s="89"/>
      <c r="E1681" s="89"/>
      <c r="F1681" s="89"/>
      <c r="G1681" s="89"/>
      <c r="H1681" s="128"/>
      <c r="I1681" s="143"/>
      <c r="J1681" s="42"/>
      <c r="K1681" s="42"/>
      <c r="L1681" s="42"/>
    </row>
    <row r="1682" spans="1:12" ht="18.75" customHeight="1" x14ac:dyDescent="0.25">
      <c r="A1682" s="132" t="s">
        <v>865</v>
      </c>
      <c r="B1682" s="528" t="s">
        <v>916</v>
      </c>
      <c r="C1682" s="89"/>
      <c r="D1682" s="89"/>
      <c r="E1682" s="89"/>
      <c r="F1682" s="89"/>
      <c r="G1682" s="89"/>
      <c r="H1682" s="128"/>
      <c r="I1682" s="143"/>
      <c r="J1682" s="42"/>
      <c r="K1682" s="42"/>
      <c r="L1682" s="42"/>
    </row>
    <row r="1683" spans="1:12" ht="18.75" customHeight="1" x14ac:dyDescent="0.25">
      <c r="A1683" s="132"/>
      <c r="B1683" s="89" t="s">
        <v>919</v>
      </c>
      <c r="C1683" s="89"/>
      <c r="D1683" s="89"/>
      <c r="E1683" s="89"/>
      <c r="F1683" s="89"/>
      <c r="G1683" s="136" t="s">
        <v>918</v>
      </c>
      <c r="H1683" s="140">
        <f>'Process (6)'!H106</f>
        <v>27.916730734364126</v>
      </c>
      <c r="I1683" s="143" t="s">
        <v>5</v>
      </c>
      <c r="J1683" s="42"/>
      <c r="K1683" s="42"/>
      <c r="L1683" s="42"/>
    </row>
    <row r="1684" spans="1:12" ht="18.75" customHeight="1" x14ac:dyDescent="0.25">
      <c r="A1684" s="132"/>
      <c r="B1684" s="133" t="s">
        <v>429</v>
      </c>
      <c r="C1684" s="127" t="s">
        <v>430</v>
      </c>
      <c r="D1684" s="128" t="s">
        <v>362</v>
      </c>
      <c r="E1684" s="128" t="s">
        <v>917</v>
      </c>
      <c r="F1684" s="89"/>
      <c r="G1684" s="133"/>
      <c r="H1684" s="134"/>
      <c r="I1684" s="142"/>
      <c r="J1684" s="42"/>
      <c r="K1684" s="42"/>
      <c r="L1684" s="42"/>
    </row>
    <row r="1685" spans="1:12" ht="18.75" customHeight="1" x14ac:dyDescent="0.25">
      <c r="A1685" s="132"/>
      <c r="B1685" s="133"/>
      <c r="C1685" s="137">
        <f>'Process (6)'!C108</f>
        <v>27.916730734364126</v>
      </c>
      <c r="D1685" s="130" t="str">
        <f>IF(C1685&lt;E1685,"&lt;","&gt;")</f>
        <v>&lt;</v>
      </c>
      <c r="E1685" s="137">
        <f>'Process (6)'!E108</f>
        <v>50</v>
      </c>
      <c r="F1685" s="89"/>
      <c r="G1685" s="131" t="s">
        <v>363</v>
      </c>
      <c r="H1685" s="132" t="str">
        <f>IF(C1685&lt;E1685,"[ OK ]","[ NOT OK ]")</f>
        <v>[ OK ]</v>
      </c>
      <c r="I1685" s="142"/>
      <c r="J1685" s="42"/>
      <c r="K1685" s="42"/>
      <c r="L1685" s="42"/>
    </row>
    <row r="1686" spans="1:12" ht="18.75" customHeight="1" x14ac:dyDescent="0.25">
      <c r="A1686" s="132"/>
      <c r="B1686" s="89"/>
      <c r="C1686" s="89"/>
      <c r="D1686" s="89"/>
      <c r="E1686" s="89"/>
      <c r="F1686" s="89"/>
      <c r="G1686" s="89"/>
      <c r="H1686" s="89"/>
      <c r="I1686" s="128"/>
      <c r="J1686" s="42"/>
      <c r="K1686" s="42"/>
      <c r="L1686" s="42"/>
    </row>
    <row r="1687" spans="1:12" ht="18.75" customHeight="1" x14ac:dyDescent="0.25">
      <c r="A1687" s="328"/>
      <c r="B1687" s="42"/>
      <c r="C1687" s="42"/>
      <c r="D1687" s="42"/>
      <c r="E1687" s="42"/>
      <c r="F1687" s="42"/>
      <c r="G1687" s="42"/>
      <c r="H1687" s="42"/>
      <c r="I1687" s="42"/>
      <c r="J1687" s="42"/>
    </row>
    <row r="1688" spans="1:12" ht="18.75" customHeight="1" x14ac:dyDescent="0.25">
      <c r="A1688" s="531" t="s">
        <v>1335</v>
      </c>
      <c r="B1688" s="482" t="s">
        <v>1272</v>
      </c>
      <c r="C1688" s="483"/>
      <c r="D1688" s="483"/>
      <c r="E1688" s="483"/>
      <c r="F1688" s="483"/>
      <c r="G1688" s="484"/>
      <c r="H1688" s="485"/>
      <c r="I1688" s="486"/>
    </row>
    <row r="1689" spans="1:12" ht="18.75" customHeight="1" x14ac:dyDescent="0.25">
      <c r="A1689" s="132" t="s">
        <v>1336</v>
      </c>
      <c r="B1689" s="87" t="s">
        <v>836</v>
      </c>
      <c r="C1689" s="8"/>
      <c r="D1689" s="8"/>
      <c r="E1689" s="8"/>
      <c r="F1689" s="8"/>
      <c r="G1689" s="8"/>
      <c r="H1689" s="8"/>
      <c r="I1689" s="8"/>
      <c r="J1689" s="42"/>
    </row>
    <row r="1690" spans="1:12" ht="18.75" customHeight="1" x14ac:dyDescent="0.25">
      <c r="A1690" s="132"/>
      <c r="B1690" s="8" t="s">
        <v>514</v>
      </c>
      <c r="C1690" s="8"/>
      <c r="D1690" s="8"/>
      <c r="E1690" s="8"/>
      <c r="F1690" s="8"/>
      <c r="G1690" s="11" t="s">
        <v>487</v>
      </c>
      <c r="H1690" s="149">
        <f>'Process (7)'!H2</f>
        <v>193000</v>
      </c>
      <c r="I1690" s="90" t="s">
        <v>28</v>
      </c>
      <c r="J1690" s="42"/>
    </row>
    <row r="1691" spans="1:12" ht="18.75" customHeight="1" x14ac:dyDescent="0.25">
      <c r="A1691" s="132"/>
      <c r="B1691" s="8" t="s">
        <v>262</v>
      </c>
      <c r="C1691" s="8"/>
      <c r="D1691" s="8"/>
      <c r="E1691" s="8"/>
      <c r="F1691" s="8"/>
      <c r="G1691" s="11" t="s">
        <v>409</v>
      </c>
      <c r="H1691" s="149">
        <f>'Process (7)'!H3</f>
        <v>68</v>
      </c>
      <c r="I1691" s="90" t="s">
        <v>475</v>
      </c>
      <c r="J1691" s="42"/>
    </row>
    <row r="1692" spans="1:12" ht="18.75" customHeight="1" x14ac:dyDescent="0.25">
      <c r="A1692" s="132"/>
      <c r="B1692" s="8" t="s">
        <v>263</v>
      </c>
      <c r="C1692" s="8"/>
      <c r="D1692" s="8"/>
      <c r="E1692" s="8"/>
      <c r="F1692" s="8"/>
      <c r="G1692" s="11" t="s">
        <v>488</v>
      </c>
      <c r="H1692" s="150">
        <f>'Process (7)'!H4</f>
        <v>9.87E-5</v>
      </c>
      <c r="I1692" s="90" t="s">
        <v>127</v>
      </c>
    </row>
    <row r="1693" spans="1:12" ht="18.75" customHeight="1" x14ac:dyDescent="0.25">
      <c r="A1693" s="132"/>
      <c r="B1693" s="8" t="s">
        <v>515</v>
      </c>
      <c r="C1693" s="8"/>
      <c r="D1693" s="8"/>
      <c r="E1693" s="8"/>
      <c r="F1693" s="8"/>
      <c r="G1693" s="11" t="s">
        <v>489</v>
      </c>
      <c r="H1693" s="149">
        <f>'Process (7)'!H5</f>
        <v>1580</v>
      </c>
      <c r="I1693" s="90" t="s">
        <v>28</v>
      </c>
    </row>
    <row r="1694" spans="1:12" ht="18.75" customHeight="1" x14ac:dyDescent="0.25">
      <c r="A1694" s="532"/>
      <c r="B1694" s="76" t="s">
        <v>587</v>
      </c>
      <c r="C1694" s="76"/>
      <c r="D1694" s="76"/>
      <c r="E1694" s="76"/>
      <c r="F1694" s="76"/>
      <c r="G1694" s="74" t="s">
        <v>581</v>
      </c>
      <c r="H1694" s="149">
        <f>'Process (7)'!H6</f>
        <v>1860</v>
      </c>
      <c r="I1694" s="120" t="s">
        <v>28</v>
      </c>
    </row>
    <row r="1695" spans="1:12" ht="18.75" customHeight="1" x14ac:dyDescent="0.25">
      <c r="A1695" s="132"/>
      <c r="B1695" s="8" t="s">
        <v>265</v>
      </c>
      <c r="C1695" s="8"/>
      <c r="D1695" s="8"/>
      <c r="E1695" s="8"/>
      <c r="F1695" s="8"/>
      <c r="G1695" s="11" t="s">
        <v>490</v>
      </c>
      <c r="H1695" s="150">
        <f>'Process (7)'!H7</f>
        <v>6.7115999999999999E-3</v>
      </c>
      <c r="I1695" s="90" t="s">
        <v>127</v>
      </c>
    </row>
    <row r="1696" spans="1:12" ht="18.75" customHeight="1" x14ac:dyDescent="0.25">
      <c r="A1696" s="132"/>
      <c r="B1696" s="8" t="s">
        <v>405</v>
      </c>
      <c r="C1696" s="8"/>
      <c r="D1696" s="11"/>
      <c r="E1696" s="128"/>
      <c r="F1696" s="8"/>
      <c r="G1696" s="11" t="s">
        <v>43</v>
      </c>
      <c r="H1696" s="148">
        <f>'Process (7)'!H8</f>
        <v>50</v>
      </c>
      <c r="I1696" s="90" t="s">
        <v>28</v>
      </c>
    </row>
    <row r="1697" spans="1:9" ht="18.75" customHeight="1" x14ac:dyDescent="0.25">
      <c r="A1697" s="132"/>
      <c r="B1697" s="8"/>
      <c r="C1697" s="8"/>
      <c r="D1697" s="11"/>
      <c r="E1697" s="128"/>
      <c r="F1697" s="8"/>
      <c r="G1697" s="11"/>
      <c r="H1697" s="307"/>
      <c r="I1697" s="90"/>
    </row>
    <row r="1698" spans="1:9" ht="18.75" customHeight="1" x14ac:dyDescent="0.25">
      <c r="A1698" s="132"/>
      <c r="B1698" s="8"/>
      <c r="C1698" s="8"/>
      <c r="D1698" s="11"/>
      <c r="E1698" s="128"/>
      <c r="F1698" s="8"/>
      <c r="G1698" s="11"/>
      <c r="H1698" s="307"/>
      <c r="I1698" s="90"/>
    </row>
    <row r="1699" spans="1:9" ht="18.75" customHeight="1" x14ac:dyDescent="0.25">
      <c r="A1699" s="534"/>
      <c r="B1699" s="310" t="s">
        <v>933</v>
      </c>
      <c r="C1699" s="202"/>
      <c r="D1699" s="202"/>
      <c r="E1699" s="202"/>
      <c r="F1699" s="202"/>
      <c r="G1699" s="303" t="s">
        <v>929</v>
      </c>
      <c r="H1699" s="304" t="str">
        <f>'Process (7)'!H10</f>
        <v>-</v>
      </c>
      <c r="I1699" s="308"/>
    </row>
    <row r="1700" spans="1:9" ht="18.75" customHeight="1" x14ac:dyDescent="0.25">
      <c r="A1700" s="534"/>
      <c r="B1700" s="310" t="s">
        <v>934</v>
      </c>
      <c r="C1700" s="202"/>
      <c r="D1700" s="202"/>
      <c r="E1700" s="202"/>
      <c r="F1700" s="202"/>
      <c r="G1700" s="303" t="s">
        <v>932</v>
      </c>
      <c r="H1700" s="305">
        <f>'Process (7)'!H11</f>
        <v>0.69285714285714284</v>
      </c>
      <c r="I1700" s="308"/>
    </row>
    <row r="1701" spans="1:9" ht="18.75" customHeight="1" x14ac:dyDescent="0.25">
      <c r="A1701" s="534"/>
      <c r="B1701" s="310" t="s">
        <v>930</v>
      </c>
      <c r="C1701" s="202"/>
      <c r="D1701" s="202"/>
      <c r="E1701" s="202"/>
      <c r="F1701" s="202"/>
      <c r="G1701" s="303" t="s">
        <v>929</v>
      </c>
      <c r="H1701" s="305" t="str">
        <f>'Process (7)'!H12</f>
        <v>-</v>
      </c>
      <c r="I1701" s="308"/>
    </row>
    <row r="1702" spans="1:9" ht="18.75" customHeight="1" x14ac:dyDescent="0.25">
      <c r="A1702" s="534"/>
      <c r="B1702" s="310" t="s">
        <v>931</v>
      </c>
      <c r="C1702" s="202"/>
      <c r="D1702" s="202"/>
      <c r="E1702" s="202"/>
      <c r="F1702" s="306" t="s">
        <v>363</v>
      </c>
      <c r="G1702" s="303" t="s">
        <v>929</v>
      </c>
      <c r="H1702" s="140">
        <f>'Process (7)'!H13</f>
        <v>0.69285714285714284</v>
      </c>
      <c r="I1702" s="308"/>
    </row>
    <row r="1703" spans="1:9" ht="18.75" customHeight="1" x14ac:dyDescent="0.25">
      <c r="A1703" s="132"/>
      <c r="B1703" s="8"/>
      <c r="C1703" s="8"/>
      <c r="D1703" s="11"/>
      <c r="E1703" s="89"/>
      <c r="F1703" s="8"/>
      <c r="G1703" s="8"/>
      <c r="H1703" s="11"/>
      <c r="I1703" s="89"/>
    </row>
    <row r="1704" spans="1:9" ht="18.75" customHeight="1" x14ac:dyDescent="0.25">
      <c r="A1704" s="132"/>
      <c r="B1704" s="8" t="s">
        <v>476</v>
      </c>
      <c r="C1704" s="8"/>
      <c r="D1704" s="8"/>
      <c r="E1704" s="8"/>
      <c r="F1704" s="8"/>
      <c r="G1704" s="11" t="s">
        <v>21</v>
      </c>
      <c r="H1704" s="148">
        <f>'Process (7)'!H15</f>
        <v>40</v>
      </c>
      <c r="I1704" s="90" t="s">
        <v>2</v>
      </c>
    </row>
    <row r="1705" spans="1:9" ht="18.75" customHeight="1" x14ac:dyDescent="0.25">
      <c r="A1705" s="132"/>
      <c r="B1705" s="8" t="s">
        <v>491</v>
      </c>
      <c r="C1705" s="8"/>
      <c r="D1705" s="8"/>
      <c r="E1705" s="8"/>
      <c r="F1705" s="8"/>
      <c r="G1705" s="11" t="s">
        <v>402</v>
      </c>
      <c r="H1705" s="140">
        <f>'Process (7)'!H16</f>
        <v>7579.4128750556474</v>
      </c>
      <c r="I1705" s="90" t="s">
        <v>40</v>
      </c>
    </row>
    <row r="1706" spans="1:9" ht="18.75" customHeight="1" x14ac:dyDescent="0.25">
      <c r="A1706" s="132"/>
      <c r="B1706" s="8" t="s">
        <v>477</v>
      </c>
      <c r="C1706" s="8"/>
      <c r="D1706" s="8"/>
      <c r="E1706" s="8"/>
      <c r="F1706" s="8"/>
      <c r="G1706" s="11" t="s">
        <v>938</v>
      </c>
      <c r="H1706" s="140">
        <f>'Process (7)'!H17</f>
        <v>1129.3004462506181</v>
      </c>
      <c r="I1706" s="90" t="s">
        <v>28</v>
      </c>
    </row>
    <row r="1707" spans="1:9" ht="18.75" customHeight="1" x14ac:dyDescent="0.25">
      <c r="A1707" s="132"/>
      <c r="B1707" s="8" t="s">
        <v>478</v>
      </c>
      <c r="C1707" s="8"/>
      <c r="D1707" s="8"/>
      <c r="E1707" s="8"/>
      <c r="F1707" s="8"/>
      <c r="G1707" s="11" t="s">
        <v>440</v>
      </c>
      <c r="H1707" s="140">
        <f>'Process (7)'!H18</f>
        <v>1.0797449324394672</v>
      </c>
      <c r="I1707" s="90" t="s">
        <v>127</v>
      </c>
    </row>
    <row r="1708" spans="1:9" ht="18.75" customHeight="1" x14ac:dyDescent="0.25">
      <c r="A1708" s="132"/>
      <c r="B1708" s="8" t="s">
        <v>479</v>
      </c>
      <c r="C1708" s="8"/>
      <c r="D1708" s="8"/>
      <c r="E1708" s="8"/>
      <c r="F1708" s="8"/>
      <c r="G1708" s="11" t="s">
        <v>492</v>
      </c>
      <c r="H1708" s="140">
        <f>'Process (7)'!H19</f>
        <v>6.2159124792894238E-3</v>
      </c>
      <c r="I1708" s="90"/>
    </row>
    <row r="1709" spans="1:9" ht="18.75" customHeight="1" x14ac:dyDescent="0.25">
      <c r="A1709" s="132"/>
      <c r="B1709" s="8"/>
      <c r="C1709" s="8"/>
      <c r="D1709" s="8"/>
      <c r="E1709" s="8"/>
      <c r="F1709" s="8"/>
      <c r="G1709" s="8"/>
      <c r="H1709" s="11"/>
      <c r="I1709" s="191"/>
    </row>
    <row r="1710" spans="1:9" ht="18.75" customHeight="1" x14ac:dyDescent="0.25">
      <c r="A1710" s="132" t="s">
        <v>1337</v>
      </c>
      <c r="B1710" s="87" t="s">
        <v>837</v>
      </c>
      <c r="C1710" s="8"/>
      <c r="D1710" s="8"/>
      <c r="E1710" s="8"/>
      <c r="F1710" s="8"/>
      <c r="G1710" s="8"/>
      <c r="H1710" s="11"/>
      <c r="I1710" s="191"/>
    </row>
    <row r="1711" spans="1:9" ht="18.75" customHeight="1" x14ac:dyDescent="0.25">
      <c r="A1711" s="132"/>
      <c r="B1711" s="8"/>
      <c r="C1711" s="8"/>
      <c r="D1711" s="8"/>
      <c r="E1711" s="8"/>
      <c r="F1711" s="8"/>
      <c r="G1711" s="8"/>
      <c r="H1711" s="8"/>
      <c r="I1711" s="8"/>
    </row>
    <row r="1712" spans="1:9" ht="18.75" customHeight="1" x14ac:dyDescent="0.25">
      <c r="A1712" s="132"/>
      <c r="B1712" s="8"/>
      <c r="C1712" s="8"/>
      <c r="D1712" s="8"/>
      <c r="E1712" s="8"/>
      <c r="F1712" s="8"/>
      <c r="G1712" s="8"/>
      <c r="H1712" s="8"/>
      <c r="I1712" s="8"/>
    </row>
    <row r="1713" spans="1:9" ht="18.75" customHeight="1" x14ac:dyDescent="0.25">
      <c r="A1713" s="132"/>
      <c r="B1713" s="8"/>
      <c r="C1713" s="8"/>
      <c r="D1713" s="8"/>
      <c r="E1713" s="8"/>
      <c r="F1713" s="8"/>
      <c r="G1713" s="8"/>
      <c r="H1713" s="8"/>
      <c r="I1713" s="8"/>
    </row>
    <row r="1714" spans="1:9" ht="18.75" customHeight="1" x14ac:dyDescent="0.25">
      <c r="A1714" s="132"/>
      <c r="B1714" s="8"/>
      <c r="C1714" s="8"/>
      <c r="D1714" s="8"/>
      <c r="E1714" s="8"/>
      <c r="F1714" s="8"/>
      <c r="G1714" s="8"/>
      <c r="H1714" s="8"/>
      <c r="I1714" s="8"/>
    </row>
    <row r="1715" spans="1:9" ht="18.75" customHeight="1" x14ac:dyDescent="0.25">
      <c r="A1715" s="132"/>
      <c r="B1715" s="8"/>
      <c r="C1715" s="8"/>
      <c r="D1715" s="8"/>
      <c r="E1715" s="8"/>
      <c r="F1715" s="8"/>
      <c r="G1715" s="8"/>
      <c r="H1715" s="8"/>
      <c r="I1715" s="8"/>
    </row>
    <row r="1716" spans="1:9" ht="18.75" customHeight="1" x14ac:dyDescent="0.25">
      <c r="A1716" s="132"/>
      <c r="B1716" s="8"/>
      <c r="C1716" s="8"/>
      <c r="D1716" s="8"/>
      <c r="E1716" s="8"/>
      <c r="F1716" s="8"/>
      <c r="G1716" s="8"/>
      <c r="H1716" s="8"/>
      <c r="I1716" s="8"/>
    </row>
    <row r="1717" spans="1:9" ht="18.75" customHeight="1" x14ac:dyDescent="0.25">
      <c r="A1717" s="132"/>
      <c r="B1717" s="8"/>
      <c r="C1717" s="8"/>
      <c r="D1717" s="8"/>
      <c r="E1717" s="8"/>
      <c r="F1717" s="8"/>
      <c r="G1717" s="8"/>
      <c r="H1717" s="8"/>
      <c r="I1717" s="8"/>
    </row>
    <row r="1718" spans="1:9" ht="18.75" customHeight="1" x14ac:dyDescent="0.25">
      <c r="A1718" s="132"/>
      <c r="B1718" s="8"/>
      <c r="C1718" s="8"/>
      <c r="D1718" s="8"/>
      <c r="E1718" s="8"/>
      <c r="F1718" s="8"/>
      <c r="G1718" s="8"/>
      <c r="H1718" s="8"/>
      <c r="I1718" s="8"/>
    </row>
    <row r="1719" spans="1:9" ht="18.75" customHeight="1" x14ac:dyDescent="0.25">
      <c r="A1719" s="132"/>
      <c r="B1719" s="8"/>
      <c r="C1719" s="8"/>
      <c r="D1719" s="8"/>
      <c r="E1719" s="8"/>
      <c r="F1719" s="8"/>
      <c r="G1719" s="8"/>
      <c r="H1719" s="8"/>
      <c r="I1719" s="8"/>
    </row>
    <row r="1720" spans="1:9" ht="18.75" customHeight="1" x14ac:dyDescent="0.25">
      <c r="A1720" s="132"/>
      <c r="B1720" s="8"/>
      <c r="C1720" s="8"/>
      <c r="D1720" s="8"/>
      <c r="E1720" s="8"/>
      <c r="F1720" s="8"/>
      <c r="G1720" s="8"/>
      <c r="H1720" s="8"/>
      <c r="I1720" s="8"/>
    </row>
    <row r="1721" spans="1:9" ht="18.75" customHeight="1" x14ac:dyDescent="0.25">
      <c r="A1721" s="132"/>
      <c r="B1721" s="8"/>
      <c r="C1721" s="8"/>
      <c r="D1721" s="8"/>
      <c r="E1721" s="8"/>
      <c r="F1721" s="8"/>
      <c r="G1721" s="8"/>
      <c r="H1721" s="8"/>
      <c r="I1721" s="8"/>
    </row>
    <row r="1722" spans="1:9" ht="18.75" customHeight="1" x14ac:dyDescent="0.25">
      <c r="A1722" s="132"/>
      <c r="B1722" s="8"/>
      <c r="C1722" s="8"/>
      <c r="D1722" s="8"/>
      <c r="E1722" s="8"/>
      <c r="F1722" s="8"/>
      <c r="G1722" s="8"/>
      <c r="H1722" s="8"/>
      <c r="I1722" s="8"/>
    </row>
    <row r="1723" spans="1:9" ht="18.75" customHeight="1" x14ac:dyDescent="0.25">
      <c r="A1723" s="132"/>
      <c r="B1723" s="11" t="s">
        <v>493</v>
      </c>
      <c r="C1723" s="148">
        <f>'Process (7)'!C34</f>
        <v>0.64</v>
      </c>
      <c r="D1723" s="11" t="s">
        <v>494</v>
      </c>
      <c r="E1723" s="148">
        <f>'Process (7)'!E34</f>
        <v>0.24999999999999997</v>
      </c>
    </row>
    <row r="1724" spans="1:9" ht="18.75" customHeight="1" x14ac:dyDescent="0.25">
      <c r="A1724" s="132"/>
      <c r="B1724" s="11" t="s">
        <v>497</v>
      </c>
      <c r="C1724" s="148">
        <f>'Process (7)'!C35</f>
        <v>0.8</v>
      </c>
      <c r="D1724" s="11" t="s">
        <v>498</v>
      </c>
      <c r="E1724" s="148">
        <f>'Process (7)'!E35</f>
        <v>0.7</v>
      </c>
    </row>
    <row r="1725" spans="1:9" ht="18.75" customHeight="1" x14ac:dyDescent="0.25">
      <c r="A1725" s="132"/>
      <c r="B1725" s="11" t="s">
        <v>501</v>
      </c>
      <c r="C1725" s="148">
        <f>'Process (7)'!C36</f>
        <v>0.30000000000000004</v>
      </c>
      <c r="D1725" s="11" t="s">
        <v>502</v>
      </c>
      <c r="E1725" s="148">
        <f>'Process (7)'!E36</f>
        <v>1.3097797297578684</v>
      </c>
    </row>
    <row r="1726" spans="1:9" ht="18.75" customHeight="1" x14ac:dyDescent="0.25">
      <c r="A1726" s="132"/>
      <c r="B1726" s="11" t="s">
        <v>504</v>
      </c>
      <c r="C1726" s="148">
        <f>'Process (7)'!C37</f>
        <v>0.2</v>
      </c>
      <c r="D1726" s="8"/>
      <c r="E1726" s="8"/>
    </row>
    <row r="1727" spans="1:9" ht="18.75" customHeight="1" x14ac:dyDescent="0.25">
      <c r="A1727" s="132"/>
      <c r="B1727" s="8"/>
      <c r="C1727" s="8"/>
      <c r="D1727" s="8"/>
      <c r="E1727" s="8"/>
      <c r="F1727" s="8"/>
      <c r="G1727" s="8"/>
      <c r="H1727" s="8"/>
      <c r="I1727" s="8"/>
    </row>
    <row r="1728" spans="1:9" ht="18.75" customHeight="1" x14ac:dyDescent="0.25">
      <c r="A1728" s="132"/>
      <c r="B1728" s="11" t="s">
        <v>495</v>
      </c>
      <c r="C1728" s="148">
        <f>'Process (7)'!C39</f>
        <v>7.0000000000000007E-2</v>
      </c>
      <c r="D1728" s="11" t="s">
        <v>496</v>
      </c>
      <c r="E1728" s="148">
        <f>'Process (7)'!E39</f>
        <v>0.25</v>
      </c>
      <c r="F1728" s="8"/>
      <c r="H1728" s="8"/>
      <c r="I1728" s="8"/>
    </row>
    <row r="1729" spans="1:9" ht="18.75" customHeight="1" x14ac:dyDescent="0.25">
      <c r="A1729" s="132"/>
      <c r="B1729" s="11" t="s">
        <v>499</v>
      </c>
      <c r="C1729" s="148">
        <f>'Process (7)'!C40</f>
        <v>0.13</v>
      </c>
      <c r="D1729" s="11" t="s">
        <v>500</v>
      </c>
      <c r="E1729" s="148">
        <f>'Process (7)'!E40</f>
        <v>0.25</v>
      </c>
      <c r="F1729" s="8"/>
      <c r="H1729" s="8"/>
      <c r="I1729" s="8"/>
    </row>
    <row r="1730" spans="1:9" ht="18.75" customHeight="1" x14ac:dyDescent="0.25">
      <c r="A1730" s="132"/>
      <c r="B1730" s="11" t="s">
        <v>503</v>
      </c>
      <c r="C1730" s="148">
        <f>'Process (7)'!C41</f>
        <v>0.12</v>
      </c>
      <c r="D1730" s="11" t="s">
        <v>107</v>
      </c>
      <c r="E1730" s="148">
        <f>'Process (7)'!E41</f>
        <v>2.1</v>
      </c>
      <c r="F1730" s="8"/>
      <c r="H1730" s="8"/>
      <c r="I1730" s="8"/>
    </row>
    <row r="1731" spans="1:9" ht="18.75" customHeight="1" x14ac:dyDescent="0.25">
      <c r="A1731" s="132"/>
      <c r="B1731" s="11" t="s">
        <v>505</v>
      </c>
      <c r="C1731" s="148">
        <f>'Process (7)'!C42</f>
        <v>1.6500000000000001</v>
      </c>
      <c r="D1731" s="11" t="s">
        <v>407</v>
      </c>
      <c r="E1731" s="148">
        <f>'Process (7)'!E42</f>
        <v>0.25</v>
      </c>
      <c r="F1731" s="8"/>
      <c r="G1731" s="1" t="s">
        <v>516</v>
      </c>
      <c r="I1731" s="8"/>
    </row>
    <row r="1732" spans="1:9" ht="18.75" customHeight="1" x14ac:dyDescent="0.25">
      <c r="A1732" s="132"/>
      <c r="B1732" s="8"/>
      <c r="C1732" s="8"/>
      <c r="D1732" s="88"/>
      <c r="E1732" s="8"/>
      <c r="F1732" s="8"/>
      <c r="G1732" s="11"/>
      <c r="H1732" s="8"/>
      <c r="I1732" s="8"/>
    </row>
    <row r="1733" spans="1:9" ht="18.75" customHeight="1" x14ac:dyDescent="0.25">
      <c r="A1733" s="132"/>
      <c r="B1733" s="8"/>
      <c r="C1733" s="8"/>
      <c r="D1733" s="88"/>
      <c r="E1733" s="8"/>
      <c r="F1733" s="8"/>
      <c r="G1733" s="11"/>
      <c r="H1733" s="8"/>
      <c r="I1733" s="8"/>
    </row>
    <row r="1734" spans="1:9" ht="18.75" customHeight="1" x14ac:dyDescent="0.25">
      <c r="A1734" s="132"/>
      <c r="B1734" s="8"/>
      <c r="C1734" s="8"/>
      <c r="D1734" s="88"/>
      <c r="E1734" s="8"/>
      <c r="F1734" s="8"/>
      <c r="G1734" s="11"/>
      <c r="H1734" s="8"/>
      <c r="I1734" s="8"/>
    </row>
    <row r="1735" spans="1:9" ht="18.75" customHeight="1" x14ac:dyDescent="0.25">
      <c r="A1735" s="132"/>
      <c r="B1735" s="8"/>
      <c r="C1735" s="8"/>
      <c r="D1735" s="88"/>
      <c r="E1735" s="8"/>
      <c r="F1735" s="8"/>
      <c r="G1735" s="11"/>
      <c r="H1735" s="8"/>
      <c r="I1735" s="8"/>
    </row>
    <row r="1736" spans="1:9" ht="18.75" customHeight="1" x14ac:dyDescent="0.25">
      <c r="A1736" s="132"/>
      <c r="B1736" s="8" t="s">
        <v>101</v>
      </c>
      <c r="C1736" s="8"/>
      <c r="G1736" s="11" t="s">
        <v>506</v>
      </c>
      <c r="H1736" s="148">
        <f>'Process (7)'!H44</f>
        <v>2.35</v>
      </c>
      <c r="I1736" s="8" t="s">
        <v>2</v>
      </c>
    </row>
    <row r="1737" spans="1:9" ht="18.75" customHeight="1" x14ac:dyDescent="0.25">
      <c r="A1737" s="132"/>
      <c r="B1737" s="8" t="s">
        <v>936</v>
      </c>
      <c r="C1737" s="8"/>
      <c r="D1737" s="11"/>
      <c r="E1737" s="311"/>
      <c r="F1737" s="8"/>
      <c r="G1737" s="11"/>
      <c r="H1737" s="191"/>
      <c r="I1737" s="90"/>
    </row>
    <row r="1738" spans="1:9" ht="18.75" customHeight="1" x14ac:dyDescent="0.25">
      <c r="A1738" s="132"/>
      <c r="B1738" s="8" t="s">
        <v>361</v>
      </c>
      <c r="C1738" s="16" t="s">
        <v>937</v>
      </c>
      <c r="D1738" s="16" t="s">
        <v>362</v>
      </c>
      <c r="E1738" s="311">
        <v>35</v>
      </c>
      <c r="F1738" s="8"/>
      <c r="G1738" s="11"/>
      <c r="H1738" s="191"/>
      <c r="I1738" s="90"/>
    </row>
    <row r="1739" spans="1:9" ht="18.75" customHeight="1" x14ac:dyDescent="0.25">
      <c r="A1739" s="132"/>
      <c r="B1739" s="8"/>
      <c r="C1739" s="140">
        <f>'Process (7)'!C47</f>
        <v>17.021276595744681</v>
      </c>
      <c r="D1739" s="3" t="str">
        <f>IF(C1739&lt;E1739,"&lt;","&gt;")</f>
        <v>&lt;</v>
      </c>
      <c r="E1739" s="148">
        <f>'Process (7)'!E47</f>
        <v>35</v>
      </c>
      <c r="G1739" s="192" t="s">
        <v>363</v>
      </c>
      <c r="H1739" s="383" t="str">
        <f>IF(C1739&lt;E1739,"[ OK ]","[NOT OK]")</f>
        <v>[ OK ]</v>
      </c>
      <c r="I1739" s="90"/>
    </row>
    <row r="1740" spans="1:9" ht="18.75" customHeight="1" x14ac:dyDescent="0.25">
      <c r="A1740" s="132"/>
      <c r="B1740" s="8"/>
      <c r="C1740" s="8"/>
      <c r="D1740" s="11"/>
      <c r="E1740" s="311"/>
      <c r="F1740" s="8"/>
      <c r="G1740" s="11"/>
      <c r="H1740" s="191"/>
      <c r="I1740" s="90"/>
    </row>
    <row r="1741" spans="1:9" ht="18.75" customHeight="1" x14ac:dyDescent="0.25">
      <c r="A1741" s="132"/>
      <c r="B1741" s="1" t="s">
        <v>949</v>
      </c>
      <c r="C1741" s="8"/>
      <c r="D1741" s="11"/>
      <c r="E1741" s="311"/>
      <c r="F1741" s="634" t="str">
        <f>'Process (7)'!G49</f>
        <v>Dengan Lekatan (Bounded)</v>
      </c>
      <c r="G1741" s="656"/>
      <c r="H1741" s="635"/>
      <c r="I1741" s="90"/>
    </row>
    <row r="1742" spans="1:9" ht="18.75" customHeight="1" x14ac:dyDescent="0.25">
      <c r="A1742" s="132"/>
      <c r="B1742" s="8" t="s">
        <v>943</v>
      </c>
      <c r="C1742" s="8"/>
      <c r="D1742" s="11"/>
      <c r="E1742" s="311"/>
      <c r="F1742" s="8"/>
      <c r="G1742" s="11" t="s">
        <v>944</v>
      </c>
      <c r="H1742" s="314">
        <f>'Process (7)'!H50</f>
        <v>0.84946236559139787</v>
      </c>
      <c r="I1742" s="90"/>
    </row>
    <row r="1743" spans="1:9" ht="18.75" customHeight="1" x14ac:dyDescent="0.25">
      <c r="A1743" s="132"/>
      <c r="B1743" s="8" t="s">
        <v>945</v>
      </c>
      <c r="C1743" s="8"/>
      <c r="D1743" s="11"/>
      <c r="E1743" s="311"/>
      <c r="F1743" s="8"/>
      <c r="G1743" s="5" t="s">
        <v>946</v>
      </c>
      <c r="H1743" s="140">
        <f>'Process (7)'!H51</f>
        <v>0.55000000000000004</v>
      </c>
      <c r="I1743" s="90"/>
    </row>
    <row r="1744" spans="1:9" ht="18.75" customHeight="1" x14ac:dyDescent="0.25">
      <c r="A1744" s="132"/>
      <c r="B1744" s="8" t="s">
        <v>947</v>
      </c>
      <c r="C1744" s="8"/>
      <c r="D1744" s="11"/>
      <c r="E1744" s="311"/>
      <c r="F1744" s="8"/>
      <c r="I1744" s="90"/>
    </row>
    <row r="1745" spans="1:9" ht="18.75" customHeight="1" x14ac:dyDescent="0.25">
      <c r="A1745" s="132"/>
      <c r="B1745" s="8"/>
      <c r="C1745" s="8"/>
      <c r="D1745" s="11"/>
      <c r="E1745" s="311"/>
      <c r="F1745" s="8"/>
      <c r="G1745" s="5" t="s">
        <v>948</v>
      </c>
      <c r="H1745" s="148">
        <f>'Process (7)'!H52</f>
        <v>1518.5872262622831</v>
      </c>
      <c r="I1745" s="90"/>
    </row>
    <row r="1746" spans="1:9" ht="18.75" customHeight="1" x14ac:dyDescent="0.25">
      <c r="A1746" s="132"/>
      <c r="C1746" s="8"/>
      <c r="D1746" s="8"/>
      <c r="E1746" s="8"/>
      <c r="F1746" s="8"/>
      <c r="G1746" s="11" t="s">
        <v>941</v>
      </c>
      <c r="H1746" s="148" t="str">
        <f>'Process (7)'!H53</f>
        <v>-</v>
      </c>
      <c r="I1746" s="90" t="s">
        <v>28</v>
      </c>
    </row>
    <row r="1747" spans="1:9" ht="18.75" customHeight="1" x14ac:dyDescent="0.25">
      <c r="A1747" s="132"/>
      <c r="B1747" s="8"/>
      <c r="C1747" s="8"/>
      <c r="D1747" s="8"/>
      <c r="E1747" s="8"/>
      <c r="F1747" s="8"/>
      <c r="G1747" s="11" t="s">
        <v>950</v>
      </c>
      <c r="H1747" s="148" t="str">
        <f>'Process (7)'!H54</f>
        <v>-</v>
      </c>
      <c r="I1747" s="90" t="s">
        <v>28</v>
      </c>
    </row>
    <row r="1748" spans="1:9" ht="18.75" customHeight="1" x14ac:dyDescent="0.25">
      <c r="A1748" s="132"/>
      <c r="B1748" s="8"/>
      <c r="C1748" s="8"/>
      <c r="D1748" s="8"/>
      <c r="E1748" s="8"/>
      <c r="F1748" s="8"/>
      <c r="G1748" s="11" t="s">
        <v>942</v>
      </c>
      <c r="H1748" s="148">
        <f>'Process (7)'!H55</f>
        <v>1580</v>
      </c>
      <c r="I1748" s="90" t="s">
        <v>28</v>
      </c>
    </row>
    <row r="1749" spans="1:9" ht="18.75" customHeight="1" x14ac:dyDescent="0.25">
      <c r="A1749" s="132"/>
      <c r="B1749" s="8" t="s">
        <v>935</v>
      </c>
      <c r="C1749" s="8"/>
      <c r="E1749" s="8"/>
      <c r="F1749" s="8"/>
      <c r="G1749" s="11" t="s">
        <v>507</v>
      </c>
      <c r="H1749" s="148">
        <f>'Process (7)'!H56</f>
        <v>1518.5872262622831</v>
      </c>
      <c r="I1749" s="90" t="s">
        <v>28</v>
      </c>
    </row>
    <row r="1750" spans="1:9" ht="18.75" customHeight="1" x14ac:dyDescent="0.25">
      <c r="A1750" s="132"/>
      <c r="B1750" s="10"/>
      <c r="C1750" s="8"/>
      <c r="D1750" s="8"/>
      <c r="E1750" s="8"/>
      <c r="F1750" s="8"/>
      <c r="G1750" s="8"/>
      <c r="H1750" s="11"/>
      <c r="I1750" s="89"/>
    </row>
    <row r="1751" spans="1:9" ht="18.75" customHeight="1" x14ac:dyDescent="0.25">
      <c r="A1751" s="132"/>
      <c r="B1751" s="8" t="s">
        <v>480</v>
      </c>
      <c r="C1751" s="8"/>
      <c r="D1751" s="8"/>
      <c r="E1751" s="8"/>
      <c r="F1751" s="8"/>
      <c r="G1751" s="11" t="s">
        <v>508</v>
      </c>
      <c r="H1751" s="140">
        <f>'Process (7)'!H58</f>
        <v>0.19999999999999996</v>
      </c>
      <c r="I1751" s="90" t="s">
        <v>2</v>
      </c>
    </row>
    <row r="1752" spans="1:9" ht="18.75" customHeight="1" x14ac:dyDescent="0.25">
      <c r="A1752" s="132"/>
      <c r="B1752" s="8" t="s">
        <v>481</v>
      </c>
      <c r="C1752" s="8"/>
      <c r="D1752" s="8"/>
      <c r="E1752" s="8"/>
      <c r="F1752" s="8"/>
      <c r="G1752" s="11" t="s">
        <v>509</v>
      </c>
      <c r="H1752" s="140">
        <f>'Process (7)'!H59</f>
        <v>2.1500000000000004</v>
      </c>
      <c r="I1752" s="90" t="s">
        <v>2</v>
      </c>
    </row>
    <row r="1753" spans="1:9" ht="18.75" customHeight="1" x14ac:dyDescent="0.25">
      <c r="A1753" s="132"/>
      <c r="B1753" s="8" t="s">
        <v>406</v>
      </c>
      <c r="C1753" s="8"/>
      <c r="G1753" s="11" t="s">
        <v>510</v>
      </c>
      <c r="H1753" s="148">
        <f>'Process (7)'!H60</f>
        <v>50000</v>
      </c>
      <c r="I1753" s="90" t="s">
        <v>135</v>
      </c>
    </row>
    <row r="1754" spans="1:9" ht="18.75" customHeight="1" x14ac:dyDescent="0.25">
      <c r="A1754" s="132"/>
      <c r="B1754" s="8" t="s">
        <v>482</v>
      </c>
      <c r="F1754" s="8"/>
      <c r="G1754" s="11" t="s">
        <v>507</v>
      </c>
      <c r="H1754" s="148">
        <f>'Process (7)'!H61</f>
        <v>1518.5872262622831</v>
      </c>
      <c r="I1754" s="90" t="s">
        <v>135</v>
      </c>
    </row>
    <row r="1755" spans="1:9" ht="18.75" customHeight="1" x14ac:dyDescent="0.25">
      <c r="A1755" s="132"/>
      <c r="B1755" s="8" t="s">
        <v>483</v>
      </c>
      <c r="C1755" s="8"/>
      <c r="D1755" s="8"/>
      <c r="E1755" s="8"/>
      <c r="F1755" s="8"/>
      <c r="G1755" s="11" t="s">
        <v>511</v>
      </c>
      <c r="H1755" s="148">
        <f>'Process (7)'!H62</f>
        <v>10192.15002778194</v>
      </c>
      <c r="I1755" s="90" t="s">
        <v>40</v>
      </c>
    </row>
    <row r="1756" spans="1:9" ht="18.75" customHeight="1" x14ac:dyDescent="0.25">
      <c r="A1756" s="132"/>
      <c r="B1756" s="8" t="s">
        <v>957</v>
      </c>
      <c r="C1756" s="8"/>
      <c r="D1756" s="8"/>
      <c r="E1756" s="8"/>
      <c r="F1756" s="8"/>
      <c r="G1756" s="11"/>
      <c r="H1756" s="311"/>
      <c r="I1756" s="90"/>
    </row>
    <row r="1757" spans="1:9" ht="18.75" customHeight="1" x14ac:dyDescent="0.25">
      <c r="A1757" s="132"/>
      <c r="B1757" s="8"/>
      <c r="C1757" s="8" t="s">
        <v>958</v>
      </c>
      <c r="D1757" s="8"/>
      <c r="E1757" s="8"/>
      <c r="F1757" s="8"/>
      <c r="G1757" s="11"/>
      <c r="H1757" s="311"/>
      <c r="I1757" s="90"/>
    </row>
    <row r="1758" spans="1:9" ht="18.75" customHeight="1" x14ac:dyDescent="0.25">
      <c r="A1758" s="132"/>
      <c r="B1758" s="8"/>
      <c r="C1758" s="8" t="s">
        <v>517</v>
      </c>
      <c r="D1758" s="8"/>
      <c r="E1758" s="8"/>
      <c r="F1758" s="8"/>
      <c r="G1758" s="11"/>
      <c r="H1758" s="352"/>
      <c r="I1758" s="90"/>
    </row>
    <row r="1759" spans="1:9" ht="18.75" customHeight="1" x14ac:dyDescent="0.25">
      <c r="A1759" s="132"/>
      <c r="B1759" s="8" t="s">
        <v>962</v>
      </c>
      <c r="C1759" s="8"/>
      <c r="D1759" s="8"/>
      <c r="E1759" s="8"/>
      <c r="F1759" s="8"/>
    </row>
    <row r="1760" spans="1:9" ht="18.75" customHeight="1" x14ac:dyDescent="0.25">
      <c r="A1760" s="132"/>
      <c r="B1760" s="8"/>
      <c r="C1760" s="8"/>
      <c r="D1760" s="8"/>
      <c r="E1760" s="8"/>
      <c r="F1760" s="8"/>
      <c r="G1760" s="11" t="s">
        <v>959</v>
      </c>
      <c r="H1760" s="147">
        <f>'Process (7)'!H66</f>
        <v>0.23981529477133975</v>
      </c>
      <c r="I1760" s="90" t="s">
        <v>127</v>
      </c>
    </row>
    <row r="1761" spans="1:9" ht="18.75" customHeight="1" x14ac:dyDescent="0.25">
      <c r="A1761" s="132"/>
      <c r="B1761" s="8" t="s">
        <v>960</v>
      </c>
      <c r="C1761" s="8"/>
      <c r="E1761" s="8" t="s">
        <v>971</v>
      </c>
      <c r="F1761" s="8"/>
      <c r="G1761" s="11"/>
      <c r="H1761" s="148" t="str">
        <f>'Process (7)'!H67</f>
        <v>[ YA ]</v>
      </c>
      <c r="I1761" s="90"/>
    </row>
    <row r="1762" spans="1:9" ht="18.75" customHeight="1" x14ac:dyDescent="0.25">
      <c r="A1762" s="132"/>
      <c r="B1762" s="8"/>
      <c r="C1762" s="8"/>
      <c r="E1762" s="8" t="s">
        <v>972</v>
      </c>
      <c r="F1762" s="8"/>
      <c r="G1762" s="11"/>
      <c r="H1762" s="148" t="str">
        <f>'Process (7)'!H68</f>
        <v/>
      </c>
      <c r="I1762" s="90"/>
    </row>
    <row r="1763" spans="1:9" ht="18.75" customHeight="1" x14ac:dyDescent="0.25">
      <c r="A1763" s="132"/>
      <c r="B1763" s="8"/>
      <c r="C1763" s="8"/>
      <c r="E1763" s="8" t="s">
        <v>973</v>
      </c>
      <c r="F1763" s="8"/>
      <c r="G1763" s="11"/>
      <c r="H1763" s="148" t="str">
        <f>'Process (7)'!H69</f>
        <v/>
      </c>
      <c r="I1763" s="90"/>
    </row>
    <row r="1764" spans="1:9" ht="18.75" customHeight="1" x14ac:dyDescent="0.25">
      <c r="A1764" s="132"/>
      <c r="B1764" s="8"/>
      <c r="C1764" s="8"/>
      <c r="E1764" s="8" t="s">
        <v>974</v>
      </c>
      <c r="F1764" s="8"/>
      <c r="G1764" s="11"/>
      <c r="H1764" s="148" t="str">
        <f>'Process (7)'!H70</f>
        <v/>
      </c>
      <c r="I1764" s="90"/>
    </row>
    <row r="1765" spans="1:9" ht="18.75" customHeight="1" x14ac:dyDescent="0.25">
      <c r="A1765" s="132"/>
      <c r="B1765" s="8"/>
      <c r="C1765" s="8"/>
      <c r="E1765" s="8" t="s">
        <v>975</v>
      </c>
      <c r="F1765" s="8"/>
      <c r="G1765" s="11"/>
      <c r="H1765" s="148" t="str">
        <f>'Process (7)'!H71</f>
        <v/>
      </c>
      <c r="I1765" s="90"/>
    </row>
    <row r="1766" spans="1:9" ht="18.75" customHeight="1" x14ac:dyDescent="0.25">
      <c r="A1766" s="132"/>
      <c r="B1766" s="1" t="s">
        <v>963</v>
      </c>
      <c r="G1766" s="2" t="s">
        <v>964</v>
      </c>
      <c r="H1766" s="314">
        <f>'Process (7)'!H72</f>
        <v>9.1547948606470295E-2</v>
      </c>
      <c r="I1766" s="90" t="s">
        <v>2</v>
      </c>
    </row>
    <row r="1767" spans="1:9" ht="18.75" customHeight="1" x14ac:dyDescent="0.25">
      <c r="A1767" s="132"/>
      <c r="B1767" s="8" t="s">
        <v>961</v>
      </c>
      <c r="C1767" s="8"/>
      <c r="D1767" s="8"/>
      <c r="E1767" s="8"/>
      <c r="F1767" s="8"/>
      <c r="G1767" s="11" t="s">
        <v>186</v>
      </c>
      <c r="H1767" s="314">
        <f>'Process (7)'!H73</f>
        <v>0.18309589721294059</v>
      </c>
      <c r="I1767" s="90" t="s">
        <v>2</v>
      </c>
    </row>
    <row r="1768" spans="1:9" ht="18.75" customHeight="1" x14ac:dyDescent="0.25">
      <c r="A1768" s="132"/>
      <c r="B1768" s="8" t="s">
        <v>965</v>
      </c>
      <c r="C1768" s="8"/>
      <c r="D1768" s="8"/>
      <c r="E1768" s="8"/>
      <c r="F1768" s="8"/>
      <c r="G1768" s="11" t="s">
        <v>19</v>
      </c>
      <c r="H1768" s="314">
        <f>'Process (7)'!H74</f>
        <v>1.3097797297578684</v>
      </c>
      <c r="I1768" s="90" t="s">
        <v>2</v>
      </c>
    </row>
    <row r="1769" spans="1:9" ht="18.75" customHeight="1" x14ac:dyDescent="0.25">
      <c r="A1769" s="132"/>
      <c r="B1769" s="8"/>
      <c r="C1769" s="11"/>
      <c r="D1769" s="16"/>
      <c r="E1769" s="8"/>
      <c r="F1769" s="8"/>
      <c r="G1769" s="88"/>
    </row>
    <row r="1770" spans="1:9" ht="18.75" customHeight="1" x14ac:dyDescent="0.25">
      <c r="A1770" s="132"/>
      <c r="B1770" s="8" t="s">
        <v>484</v>
      </c>
      <c r="C1770" s="8"/>
      <c r="D1770" s="8"/>
      <c r="E1770" s="8"/>
      <c r="F1770" s="8"/>
      <c r="G1770" s="11" t="s">
        <v>512</v>
      </c>
      <c r="H1770" s="147">
        <f>'Process (7)'!H76</f>
        <v>0.26426211968878022</v>
      </c>
      <c r="I1770" s="90" t="s">
        <v>2</v>
      </c>
    </row>
    <row r="1771" spans="1:9" ht="18.75" customHeight="1" x14ac:dyDescent="0.25">
      <c r="A1771" s="132"/>
      <c r="B1771" s="8" t="s">
        <v>485</v>
      </c>
      <c r="C1771" s="8"/>
      <c r="D1771" s="8"/>
      <c r="E1771" s="8"/>
      <c r="F1771" s="8"/>
      <c r="G1771" s="11" t="s">
        <v>565</v>
      </c>
      <c r="H1771" s="147">
        <f>'Process (7)'!H77</f>
        <v>2.1407584437739789E-2</v>
      </c>
      <c r="I1771" s="90"/>
    </row>
    <row r="1772" spans="1:9" ht="18.75" customHeight="1" x14ac:dyDescent="0.25">
      <c r="A1772" s="132"/>
      <c r="B1772" s="8"/>
      <c r="C1772" s="8"/>
      <c r="D1772" s="8"/>
      <c r="E1772" s="8"/>
      <c r="F1772" s="8"/>
      <c r="G1772" s="8"/>
      <c r="H1772" s="8"/>
      <c r="I1772" s="8"/>
    </row>
    <row r="1773" spans="1:9" ht="18.75" customHeight="1" x14ac:dyDescent="0.25">
      <c r="A1773" s="132" t="s">
        <v>1338</v>
      </c>
      <c r="B1773" s="87" t="s">
        <v>839</v>
      </c>
      <c r="C1773" s="8"/>
      <c r="D1773" s="8"/>
      <c r="E1773" s="8"/>
      <c r="F1773" s="8"/>
      <c r="G1773" s="8"/>
      <c r="H1773" s="8"/>
      <c r="I1773" s="8"/>
    </row>
    <row r="1774" spans="1:9" ht="18.75" customHeight="1" x14ac:dyDescent="0.25">
      <c r="A1774" s="132"/>
      <c r="B1774" s="202" t="s">
        <v>966</v>
      </c>
      <c r="C1774" s="8"/>
      <c r="D1774" s="8"/>
      <c r="E1774" s="8"/>
      <c r="G1774" s="11" t="s">
        <v>513</v>
      </c>
      <c r="H1774" s="354">
        <f>'Process (7)'!H80</f>
        <v>10192.150027781938</v>
      </c>
      <c r="I1774" s="90" t="s">
        <v>40</v>
      </c>
    </row>
    <row r="1775" spans="1:9" ht="18.75" customHeight="1" x14ac:dyDescent="0.25">
      <c r="A1775" s="132"/>
      <c r="B1775" s="8" t="s">
        <v>483</v>
      </c>
      <c r="C1775" s="8"/>
      <c r="D1775" s="8"/>
      <c r="E1775" s="8"/>
      <c r="G1775" s="11" t="s">
        <v>967</v>
      </c>
      <c r="H1775" s="148">
        <f>'Process (7)'!H81</f>
        <v>10192.15002778194</v>
      </c>
      <c r="I1775" s="90" t="s">
        <v>40</v>
      </c>
    </row>
    <row r="1776" spans="1:9" ht="18.75" customHeight="1" x14ac:dyDescent="0.25">
      <c r="A1776" s="132"/>
      <c r="B1776" s="8" t="s">
        <v>486</v>
      </c>
      <c r="C1776" s="8"/>
      <c r="D1776" s="8"/>
      <c r="E1776" s="8"/>
      <c r="F1776" s="8"/>
      <c r="G1776" s="303" t="s">
        <v>1170</v>
      </c>
      <c r="H1776" s="355">
        <f>'Process (7)'!H82</f>
        <v>20980.052132798355</v>
      </c>
      <c r="I1776" s="28" t="s">
        <v>42</v>
      </c>
    </row>
    <row r="1777" spans="1:10" ht="18.75" customHeight="1" x14ac:dyDescent="0.25">
      <c r="A1777" s="132"/>
      <c r="B1777" s="1" t="s">
        <v>518</v>
      </c>
      <c r="G1777" s="2" t="s">
        <v>519</v>
      </c>
      <c r="H1777" s="356">
        <f>'Process (7)'!H83</f>
        <v>11768.908605248413</v>
      </c>
      <c r="I1777" s="28" t="s">
        <v>42</v>
      </c>
    </row>
    <row r="1778" spans="1:10" ht="18.75" customHeight="1" x14ac:dyDescent="0.25">
      <c r="A1778" s="132"/>
      <c r="B1778" s="1" t="s">
        <v>968</v>
      </c>
    </row>
    <row r="1779" spans="1:10" ht="18.75" customHeight="1" x14ac:dyDescent="0.25">
      <c r="A1779" s="132"/>
      <c r="B1779" s="8" t="s">
        <v>361</v>
      </c>
      <c r="C1779" s="3" t="s">
        <v>840</v>
      </c>
      <c r="D1779" s="16" t="s">
        <v>362</v>
      </c>
      <c r="E1779" s="16" t="s">
        <v>841</v>
      </c>
      <c r="F1779" s="11"/>
      <c r="G1779" s="89"/>
    </row>
    <row r="1780" spans="1:10" ht="18.75" customHeight="1" x14ac:dyDescent="0.25">
      <c r="A1780" s="132"/>
      <c r="B1780" s="8"/>
      <c r="C1780" s="459">
        <f>'Process (7)'!C86</f>
        <v>11768.908605248413</v>
      </c>
      <c r="D1780" s="3" t="str">
        <f>IF(C1780&lt;E1780,"&lt;","&gt;")</f>
        <v>&lt;</v>
      </c>
      <c r="E1780" s="459">
        <f>'Process (7)'!E86</f>
        <v>20980.052132798355</v>
      </c>
      <c r="G1780" s="192" t="s">
        <v>363</v>
      </c>
      <c r="H1780" s="383" t="str">
        <f>IF(C1780&lt;E1780,"[ OK ]","[NOT OK]")</f>
        <v>[ OK ]</v>
      </c>
    </row>
    <row r="1781" spans="1:10" ht="18.75" customHeight="1" x14ac:dyDescent="0.25">
      <c r="A1781" s="132"/>
    </row>
    <row r="1782" spans="1:10" ht="18.75" customHeight="1" x14ac:dyDescent="0.25">
      <c r="A1782" s="132"/>
      <c r="B1782" s="353" t="s">
        <v>970</v>
      </c>
      <c r="C1782" s="202"/>
      <c r="D1782" s="202"/>
      <c r="E1782" s="202"/>
      <c r="F1782" s="303"/>
      <c r="G1782" s="357"/>
      <c r="H1782" s="8"/>
      <c r="I1782" s="8"/>
    </row>
    <row r="1783" spans="1:10" ht="18.75" customHeight="1" x14ac:dyDescent="0.25">
      <c r="A1783" s="132"/>
      <c r="B1783" s="353"/>
      <c r="C1783" s="357" t="s">
        <v>969</v>
      </c>
      <c r="D1783" s="202"/>
      <c r="E1783" s="357" t="s">
        <v>979</v>
      </c>
      <c r="F1783" s="303"/>
      <c r="G1783" s="357"/>
    </row>
    <row r="1784" spans="1:10" ht="18.75" customHeight="1" x14ac:dyDescent="0.25">
      <c r="A1784" s="132"/>
      <c r="B1784" s="202"/>
      <c r="C1784" s="358">
        <f>'Process (7)'!C90</f>
        <v>2.1407584437739789E-2</v>
      </c>
      <c r="D1784" s="357" t="str">
        <f>IF(C1784&lt;E1784,"&lt;","&gt;")</f>
        <v>&gt;</v>
      </c>
      <c r="E1784" s="358">
        <f>'Process (7)'!E90</f>
        <v>8.1865284974093257E-3</v>
      </c>
      <c r="G1784" s="192" t="s">
        <v>363</v>
      </c>
      <c r="H1784" s="383" t="str">
        <f>IF(C1784&gt;E1784,"[ OK ]","[NOT OK]")</f>
        <v>[ OK ]</v>
      </c>
    </row>
    <row r="1785" spans="1:10" ht="18.75" customHeight="1" x14ac:dyDescent="0.25">
      <c r="A1785" s="328"/>
    </row>
    <row r="1786" spans="1:10" ht="18.75" customHeight="1" x14ac:dyDescent="0.25">
      <c r="A1786" s="328"/>
    </row>
    <row r="1787" spans="1:10" ht="18.75" customHeight="1" x14ac:dyDescent="0.25">
      <c r="A1787" s="531" t="s">
        <v>1339</v>
      </c>
      <c r="B1787" s="482" t="s">
        <v>1273</v>
      </c>
      <c r="C1787" s="483"/>
      <c r="D1787" s="483"/>
      <c r="E1787" s="483"/>
      <c r="F1787" s="483"/>
      <c r="G1787" s="484"/>
      <c r="H1787" s="485"/>
      <c r="I1787" s="486"/>
    </row>
    <row r="1788" spans="1:10" ht="18.75" customHeight="1" x14ac:dyDescent="0.25">
      <c r="A1788" s="132" t="s">
        <v>835</v>
      </c>
      <c r="B1788" s="87" t="s">
        <v>1243</v>
      </c>
      <c r="C1788" s="8"/>
      <c r="D1788" s="8"/>
      <c r="E1788" s="8"/>
      <c r="F1788" s="8"/>
      <c r="G1788" s="8"/>
      <c r="H1788" s="8"/>
      <c r="I1788" s="8"/>
      <c r="J1788" s="90"/>
    </row>
    <row r="1789" spans="1:10" ht="18.75" customHeight="1" x14ac:dyDescent="0.25">
      <c r="A1789" s="42"/>
      <c r="B1789" s="1" t="s">
        <v>1171</v>
      </c>
      <c r="G1789" s="2" t="s">
        <v>1176</v>
      </c>
      <c r="H1789" s="459">
        <f>'Input (4) &amp; Process (8)'!I2</f>
        <v>2.35</v>
      </c>
      <c r="I1789" s="28" t="s">
        <v>2</v>
      </c>
    </row>
    <row r="1790" spans="1:10" ht="18.75" customHeight="1" x14ac:dyDescent="0.25">
      <c r="A1790" s="42"/>
      <c r="B1790" s="1" t="s">
        <v>1184</v>
      </c>
      <c r="G1790" s="2" t="s">
        <v>1185</v>
      </c>
      <c r="H1790" s="451">
        <f>'Input (4) &amp; Process (8)'!I3</f>
        <v>200</v>
      </c>
      <c r="I1790" s="28" t="s">
        <v>5</v>
      </c>
    </row>
    <row r="1791" spans="1:10" ht="18.75" customHeight="1" x14ac:dyDescent="0.25">
      <c r="A1791" s="42"/>
      <c r="B1791" s="1" t="s">
        <v>1174</v>
      </c>
      <c r="G1791" s="2" t="s">
        <v>1173</v>
      </c>
      <c r="H1791" s="451">
        <f>'Input (4) &amp; Process (8)'!I4</f>
        <v>50</v>
      </c>
      <c r="I1791" s="28" t="s">
        <v>5</v>
      </c>
    </row>
    <row r="1792" spans="1:10" ht="18.75" customHeight="1" x14ac:dyDescent="0.25">
      <c r="A1792" s="42"/>
      <c r="G1792" s="2"/>
      <c r="H1792" s="457"/>
      <c r="I1792" s="28"/>
    </row>
    <row r="1793" spans="1:9" ht="18.75" customHeight="1" x14ac:dyDescent="0.25">
      <c r="A1793" s="42"/>
      <c r="B1793" s="1" t="s">
        <v>1175</v>
      </c>
      <c r="G1793" s="2" t="s">
        <v>1177</v>
      </c>
      <c r="H1793" s="82">
        <f>'Input (4) &amp; Process (8)'!I6</f>
        <v>13</v>
      </c>
      <c r="I1793" s="28" t="s">
        <v>5</v>
      </c>
    </row>
    <row r="1794" spans="1:9" ht="18.75" customHeight="1" x14ac:dyDescent="0.25">
      <c r="A1794" s="42"/>
      <c r="B1794" s="1" t="s">
        <v>1198</v>
      </c>
      <c r="G1794" s="2" t="s">
        <v>1201</v>
      </c>
      <c r="H1794" s="82">
        <f>'Input (4) &amp; Process (8)'!I7</f>
        <v>2</v>
      </c>
      <c r="I1794" s="28"/>
    </row>
    <row r="1795" spans="1:9" ht="18.75" customHeight="1" x14ac:dyDescent="0.25">
      <c r="A1795" s="42"/>
      <c r="B1795" s="1" t="s">
        <v>1197</v>
      </c>
      <c r="G1795" s="2" t="s">
        <v>1200</v>
      </c>
      <c r="H1795" s="73">
        <f>'Input (4) &amp; Process (8)'!I8</f>
        <v>265.46457922833753</v>
      </c>
      <c r="I1795" s="28" t="s">
        <v>1199</v>
      </c>
    </row>
    <row r="1796" spans="1:9" ht="18.75" customHeight="1" x14ac:dyDescent="0.25">
      <c r="A1796" s="42"/>
      <c r="G1796" s="2"/>
      <c r="H1796" s="456"/>
      <c r="I1796" s="28"/>
    </row>
    <row r="1797" spans="1:9" ht="18.75" customHeight="1" x14ac:dyDescent="0.25">
      <c r="A1797" s="42"/>
      <c r="B1797" s="1" t="s">
        <v>1202</v>
      </c>
      <c r="G1797" s="2" t="s">
        <v>1203</v>
      </c>
      <c r="H1797" s="82">
        <f>'Input (4) &amp; Process (8)'!I10</f>
        <v>420</v>
      </c>
      <c r="I1797" s="28" t="s">
        <v>28</v>
      </c>
    </row>
    <row r="1798" spans="1:9" ht="18.75" customHeight="1" x14ac:dyDescent="0.25">
      <c r="A1798" s="42"/>
      <c r="B1798" s="444" t="s">
        <v>1195</v>
      </c>
      <c r="G1798" s="2" t="s">
        <v>1206</v>
      </c>
      <c r="H1798" s="6">
        <f>'Input (4) &amp; Process (8)'!I11</f>
        <v>50000</v>
      </c>
      <c r="I1798" s="28" t="s">
        <v>135</v>
      </c>
    </row>
    <row r="1799" spans="1:9" ht="18.75" customHeight="1" x14ac:dyDescent="0.25">
      <c r="A1799" s="42"/>
      <c r="B1799" s="42" t="s">
        <v>373</v>
      </c>
      <c r="G1799" s="30" t="s">
        <v>374</v>
      </c>
      <c r="H1799" s="6">
        <f>'Input (4) &amp; Process (8)'!I12</f>
        <v>7579.4128750556474</v>
      </c>
      <c r="I1799" s="28" t="s">
        <v>40</v>
      </c>
    </row>
    <row r="1800" spans="1:9" ht="18.75" customHeight="1" x14ac:dyDescent="0.25">
      <c r="A1800" s="42"/>
      <c r="B1800" s="8" t="s">
        <v>483</v>
      </c>
      <c r="G1800" s="443" t="s">
        <v>967</v>
      </c>
      <c r="H1800" s="148">
        <f>'Input (4) &amp; Process (8)'!I13</f>
        <v>10192.15002778194</v>
      </c>
      <c r="I1800" s="90" t="s">
        <v>40</v>
      </c>
    </row>
    <row r="1801" spans="1:9" ht="18.75" customHeight="1" x14ac:dyDescent="0.25">
      <c r="A1801" s="42"/>
      <c r="B1801" s="8" t="s">
        <v>961</v>
      </c>
      <c r="G1801" s="2" t="s">
        <v>186</v>
      </c>
      <c r="H1801" s="6">
        <f>'Input (4) &amp; Process (8)'!I14</f>
        <v>0.18309589721294059</v>
      </c>
      <c r="I1801" s="28" t="s">
        <v>2</v>
      </c>
    </row>
    <row r="1802" spans="1:9" ht="18.75" customHeight="1" x14ac:dyDescent="0.25">
      <c r="A1802" s="42"/>
      <c r="B1802" s="8"/>
      <c r="G1802" s="2"/>
      <c r="H1802" s="455"/>
      <c r="I1802" s="28"/>
    </row>
    <row r="1803" spans="1:9" ht="18.75" customHeight="1" x14ac:dyDescent="0.25">
      <c r="A1803" s="42"/>
      <c r="B1803" s="444" t="s">
        <v>587</v>
      </c>
      <c r="G1803" s="2" t="s">
        <v>1204</v>
      </c>
      <c r="H1803" s="207">
        <f>'Input (4) &amp; Process (8)'!I16</f>
        <v>1860000</v>
      </c>
      <c r="I1803" s="28" t="s">
        <v>135</v>
      </c>
    </row>
    <row r="1804" spans="1:9" ht="18.75" customHeight="1" x14ac:dyDescent="0.25">
      <c r="A1804" s="42"/>
      <c r="B1804" s="8" t="s">
        <v>265</v>
      </c>
      <c r="G1804" s="2" t="s">
        <v>1205</v>
      </c>
      <c r="H1804" s="453">
        <f>'Input (4) &amp; Process (8)'!I17</f>
        <v>6.7115999999999999E-3</v>
      </c>
      <c r="I1804" s="28" t="s">
        <v>1191</v>
      </c>
    </row>
    <row r="1805" spans="1:9" ht="18.75" customHeight="1" x14ac:dyDescent="0.25">
      <c r="A1805" s="42"/>
      <c r="B1805" s="8" t="s">
        <v>514</v>
      </c>
      <c r="G1805" s="2" t="s">
        <v>247</v>
      </c>
      <c r="H1805" s="453">
        <f>'Input (4) &amp; Process (8)'!I18</f>
        <v>193000000</v>
      </c>
      <c r="I1805" s="28" t="s">
        <v>135</v>
      </c>
    </row>
    <row r="1806" spans="1:9" ht="18.75" customHeight="1" x14ac:dyDescent="0.25">
      <c r="A1806" s="42"/>
      <c r="B1806" s="444" t="s">
        <v>1192</v>
      </c>
      <c r="G1806" s="2" t="s">
        <v>1221</v>
      </c>
      <c r="H1806" s="6">
        <f>'Input (4) &amp; Process (8)'!I19</f>
        <v>0</v>
      </c>
      <c r="I1806" s="28" t="s">
        <v>40</v>
      </c>
    </row>
    <row r="1807" spans="1:9" ht="18.75" customHeight="1" x14ac:dyDescent="0.25">
      <c r="A1807" s="42"/>
    </row>
    <row r="1808" spans="1:9" ht="18.75" customHeight="1" x14ac:dyDescent="0.25">
      <c r="A1808" s="42"/>
    </row>
    <row r="1809" spans="1:7" ht="18.75" customHeight="1" x14ac:dyDescent="0.25">
      <c r="A1809" s="42"/>
    </row>
    <row r="1810" spans="1:7" ht="18.75" customHeight="1" x14ac:dyDescent="0.25">
      <c r="A1810" s="42"/>
      <c r="B1810" s="28" t="s">
        <v>1241</v>
      </c>
    </row>
    <row r="1811" spans="1:7" ht="18.75" customHeight="1" x14ac:dyDescent="0.25">
      <c r="A1811" s="42"/>
      <c r="B1811" s="1" t="s">
        <v>1182</v>
      </c>
      <c r="G1811" s="1" t="s">
        <v>1229</v>
      </c>
    </row>
    <row r="1812" spans="1:7" ht="18.75" customHeight="1" x14ac:dyDescent="0.25">
      <c r="A1812" s="42"/>
      <c r="B1812" s="1" t="s">
        <v>1181</v>
      </c>
      <c r="G1812" s="1" t="s">
        <v>1230</v>
      </c>
    </row>
    <row r="1813" spans="1:7" ht="18.75" customHeight="1" x14ac:dyDescent="0.25">
      <c r="A1813" s="42"/>
      <c r="B1813" s="1" t="s">
        <v>1180</v>
      </c>
      <c r="G1813" s="1" t="s">
        <v>1231</v>
      </c>
    </row>
    <row r="1814" spans="1:7" ht="18.75" customHeight="1" x14ac:dyDescent="0.25">
      <c r="A1814" s="42"/>
      <c r="B1814" s="1" t="s">
        <v>1220</v>
      </c>
    </row>
    <row r="1815" spans="1:7" ht="18.75" customHeight="1" x14ac:dyDescent="0.25">
      <c r="A1815" s="42"/>
      <c r="D1815" s="1" t="s">
        <v>1232</v>
      </c>
    </row>
    <row r="1816" spans="1:7" ht="18.75" customHeight="1" x14ac:dyDescent="0.25">
      <c r="A1816" s="42"/>
      <c r="B1816" s="1" t="s">
        <v>1222</v>
      </c>
      <c r="G1816" s="1" t="s">
        <v>1233</v>
      </c>
    </row>
    <row r="1817" spans="1:7" ht="18.75" customHeight="1" x14ac:dyDescent="0.25">
      <c r="A1817" s="42"/>
      <c r="B1817" s="1" t="s">
        <v>1223</v>
      </c>
      <c r="G1817" s="1" t="s">
        <v>1234</v>
      </c>
    </row>
    <row r="1818" spans="1:7" ht="18.75" customHeight="1" x14ac:dyDescent="0.25">
      <c r="A1818" s="42"/>
      <c r="B1818" s="1" t="s">
        <v>1224</v>
      </c>
      <c r="G1818" s="1" t="s">
        <v>1235</v>
      </c>
    </row>
    <row r="1819" spans="1:7" ht="18.75" customHeight="1" x14ac:dyDescent="0.25">
      <c r="A1819" s="42"/>
      <c r="B1819" s="1" t="s">
        <v>1225</v>
      </c>
      <c r="G1819" s="1" t="s">
        <v>1236</v>
      </c>
    </row>
    <row r="1820" spans="1:7" ht="18.75" customHeight="1" x14ac:dyDescent="0.25">
      <c r="A1820" s="42"/>
      <c r="B1820" s="1" t="s">
        <v>1226</v>
      </c>
      <c r="G1820" s="1" t="s">
        <v>1237</v>
      </c>
    </row>
    <row r="1821" spans="1:7" ht="18.75" customHeight="1" x14ac:dyDescent="0.25">
      <c r="A1821" s="42"/>
      <c r="B1821" s="1" t="s">
        <v>1227</v>
      </c>
      <c r="G1821" s="1" t="s">
        <v>1238</v>
      </c>
    </row>
    <row r="1822" spans="1:7" ht="18.75" customHeight="1" x14ac:dyDescent="0.25">
      <c r="A1822" s="42"/>
      <c r="G1822" s="1" t="s">
        <v>1239</v>
      </c>
    </row>
    <row r="1823" spans="1:7" ht="18.75" customHeight="1" x14ac:dyDescent="0.25">
      <c r="A1823" s="42"/>
      <c r="B1823" s="1" t="s">
        <v>1228</v>
      </c>
      <c r="G1823" s="1" t="s">
        <v>1240</v>
      </c>
    </row>
    <row r="1824" spans="1:7" ht="18.75" customHeight="1" x14ac:dyDescent="0.25">
      <c r="A1824" s="42"/>
    </row>
    <row r="1825" spans="1:10" ht="18.75" customHeight="1" x14ac:dyDescent="0.25">
      <c r="A1825" s="42"/>
    </row>
    <row r="1826" spans="1:10" ht="18.75" customHeight="1" x14ac:dyDescent="0.25">
      <c r="A1826" s="132" t="s">
        <v>1340</v>
      </c>
      <c r="B1826" s="87" t="s">
        <v>1244</v>
      </c>
      <c r="C1826" s="8"/>
      <c r="D1826" s="8"/>
      <c r="E1826" s="8"/>
      <c r="F1826" s="8"/>
      <c r="G1826" s="8"/>
      <c r="H1826" s="8"/>
      <c r="I1826" s="8"/>
      <c r="J1826" s="90"/>
    </row>
    <row r="1827" spans="1:10" s="444" customFormat="1" ht="18.75" customHeight="1" x14ac:dyDescent="0.25">
      <c r="A1827" s="563"/>
      <c r="B1827" s="657" t="s">
        <v>1274</v>
      </c>
      <c r="C1827" s="657"/>
      <c r="D1827" s="657"/>
      <c r="E1827" s="657"/>
      <c r="F1827" s="657"/>
      <c r="G1827" s="657"/>
      <c r="H1827" s="657"/>
      <c r="I1827" s="657"/>
      <c r="J1827" s="564"/>
    </row>
    <row r="1828" spans="1:10" s="444" customFormat="1" ht="18.75" customHeight="1" x14ac:dyDescent="0.25">
      <c r="A1828" s="563"/>
      <c r="B1828" s="657"/>
      <c r="C1828" s="657"/>
      <c r="D1828" s="657"/>
      <c r="E1828" s="657"/>
      <c r="F1828" s="657"/>
      <c r="G1828" s="657"/>
      <c r="H1828" s="657"/>
      <c r="I1828" s="657"/>
      <c r="J1828" s="564"/>
    </row>
    <row r="1829" spans="1:10" ht="18.75" customHeight="1" x14ac:dyDescent="0.25">
      <c r="A1829" s="42"/>
      <c r="B1829" s="471"/>
      <c r="C1829" s="471" t="s">
        <v>1179</v>
      </c>
      <c r="D1829" s="471" t="s">
        <v>1188</v>
      </c>
      <c r="E1829" s="471" t="s">
        <v>1178</v>
      </c>
      <c r="F1829" s="471" t="s">
        <v>1183</v>
      </c>
      <c r="G1829" s="471" t="s">
        <v>1186</v>
      </c>
      <c r="H1829" s="471" t="s">
        <v>1187</v>
      </c>
    </row>
    <row r="1830" spans="1:10" ht="18.75" customHeight="1" x14ac:dyDescent="0.25">
      <c r="A1830" s="42"/>
      <c r="B1830" s="471"/>
      <c r="C1830" s="471" t="s">
        <v>2</v>
      </c>
      <c r="D1830" s="471" t="s">
        <v>2</v>
      </c>
      <c r="E1830" s="471" t="s">
        <v>2</v>
      </c>
      <c r="F1830" s="471" t="s">
        <v>40</v>
      </c>
      <c r="G1830" s="471" t="s">
        <v>40</v>
      </c>
      <c r="H1830" s="471" t="s">
        <v>42</v>
      </c>
    </row>
    <row r="1831" spans="1:10" ht="18.75" customHeight="1" x14ac:dyDescent="0.25">
      <c r="A1831" s="42"/>
      <c r="B1831" s="196">
        <f>'Input (4) &amp; Process (8)'!B40</f>
        <v>0</v>
      </c>
      <c r="C1831" s="466">
        <f>'Input (4) &amp; Process (8)'!C40</f>
        <v>1.3380495369754974</v>
      </c>
      <c r="D1831" s="466">
        <f>'Input (4) &amp; Process (8)'!D40</f>
        <v>1.1549536397625568</v>
      </c>
      <c r="E1831" s="466">
        <f>'Input (4) &amp; Process (8)'!E40</f>
        <v>0</v>
      </c>
      <c r="F1831" s="466">
        <f>'Input (4) &amp; Process (8)'!F40</f>
        <v>0</v>
      </c>
      <c r="G1831" s="6">
        <f>'Input (4) &amp; Process (8)'!G40</f>
        <v>1033.2856000000002</v>
      </c>
      <c r="H1831" s="6">
        <f>'Input (4) &amp; Process (8)'!H40</f>
        <v>0</v>
      </c>
    </row>
    <row r="1832" spans="1:10" ht="18.75" customHeight="1" x14ac:dyDescent="0.25">
      <c r="A1832" s="42"/>
      <c r="B1832" s="196">
        <f>'Input (4) &amp; Process (8)'!B41</f>
        <v>1</v>
      </c>
      <c r="C1832" s="466">
        <f>'Input (4) &amp; Process (8)'!C41</f>
        <v>1.4172147071203864</v>
      </c>
      <c r="D1832" s="466">
        <f>'Input (4) &amp; Process (8)'!D41</f>
        <v>1.2341188099074458</v>
      </c>
      <c r="E1832" s="466">
        <f>'Input (4) &amp; Process (8)'!E41</f>
        <v>1.0031286678009304</v>
      </c>
      <c r="F1832" s="466">
        <f>'Input (4) &amp; Process (8)'!F41</f>
        <v>598.15408442819717</v>
      </c>
      <c r="G1832" s="6">
        <f>'Input (4) &amp; Process (8)'!G41</f>
        <v>981.6213200000002</v>
      </c>
      <c r="H1832" s="6">
        <f>'Input (4) &amp; Process (8)'!H41</f>
        <v>1036.0615950780434</v>
      </c>
    </row>
    <row r="1833" spans="1:10" ht="18.75" customHeight="1" x14ac:dyDescent="0.25">
      <c r="A1833" s="42"/>
      <c r="B1833" s="196">
        <f>'Input (4) &amp; Process (8)'!B42</f>
        <v>2</v>
      </c>
      <c r="C1833" s="466">
        <f>'Input (4) &amp; Process (8)'!C42</f>
        <v>1.492320124950153</v>
      </c>
      <c r="D1833" s="466">
        <f>'Input (4) &amp; Process (8)'!D42</f>
        <v>1.3092242277372124</v>
      </c>
      <c r="E1833" s="466">
        <f>'Input (4) &amp; Process (8)'!E42</f>
        <v>2.0059410296202742</v>
      </c>
      <c r="F1833" s="466">
        <f>'Input (4) &amp; Process (8)'!F42</f>
        <v>582.90870143817472</v>
      </c>
      <c r="G1833" s="6">
        <f>'Input (4) &amp; Process (8)'!G42</f>
        <v>929.95704000000012</v>
      </c>
      <c r="H1833" s="6">
        <f>'Input (4) &amp; Process (8)'!H42</f>
        <v>2025.0056991228635</v>
      </c>
    </row>
    <row r="1834" spans="1:10" ht="18.75" customHeight="1" x14ac:dyDescent="0.25">
      <c r="A1834" s="42"/>
      <c r="B1834" s="196">
        <f>'Input (4) &amp; Process (8)'!B43</f>
        <v>3</v>
      </c>
      <c r="C1834" s="466">
        <f>'Input (4) &amp; Process (8)'!C43</f>
        <v>1.5633657904647968</v>
      </c>
      <c r="D1834" s="466">
        <f>'Input (4) &amp; Process (8)'!D43</f>
        <v>1.3802698932518562</v>
      </c>
      <c r="E1834" s="466">
        <f>'Input (4) &amp; Process (8)'!E43</f>
        <v>3.0084493371314158</v>
      </c>
      <c r="F1834" s="466">
        <f>'Input (4) &amp; Process (8)'!F43</f>
        <v>567.65619802142567</v>
      </c>
      <c r="G1834" s="6">
        <f>'Input (4) &amp; Process (8)'!G43</f>
        <v>878.29276000000016</v>
      </c>
      <c r="H1834" s="6">
        <f>'Input (4) &amp; Process (8)'!H43</f>
        <v>2966.8323121344602</v>
      </c>
    </row>
    <row r="1835" spans="1:10" ht="18.75" customHeight="1" x14ac:dyDescent="0.25">
      <c r="A1835" s="42"/>
      <c r="B1835" s="196">
        <f>'Input (4) &amp; Process (8)'!B44</f>
        <v>4</v>
      </c>
      <c r="C1835" s="466">
        <f>'Input (4) &amp; Process (8)'!C44</f>
        <v>1.6303517036643185</v>
      </c>
      <c r="D1835" s="466">
        <f>'Input (4) &amp; Process (8)'!D44</f>
        <v>1.4472558064513779</v>
      </c>
      <c r="E1835" s="466">
        <f>'Input (4) &amp; Process (8)'!E44</f>
        <v>4.0106658495380767</v>
      </c>
      <c r="F1835" s="466">
        <f>'Input (4) &amp; Process (8)'!F44</f>
        <v>552.39675623015989</v>
      </c>
      <c r="G1835" s="6">
        <f>'Input (4) &amp; Process (8)'!G44</f>
        <v>826.6284800000002</v>
      </c>
      <c r="H1835" s="6">
        <f>'Input (4) &amp; Process (8)'!H44</f>
        <v>3861.5414341128326</v>
      </c>
    </row>
    <row r="1836" spans="1:10" ht="18.75" customHeight="1" x14ac:dyDescent="0.25">
      <c r="A1836" s="42"/>
      <c r="B1836" s="196">
        <f>'Input (4) &amp; Process (8)'!B45</f>
        <v>5</v>
      </c>
      <c r="C1836" s="466">
        <f>'Input (4) &amp; Process (8)'!C45</f>
        <v>1.6932778645487174</v>
      </c>
      <c r="D1836" s="466">
        <f>'Input (4) &amp; Process (8)'!D45</f>
        <v>1.5101819673357768</v>
      </c>
      <c r="E1836" s="466">
        <f>'Input (4) &amp; Process (8)'!E45</f>
        <v>5.0126028333302513</v>
      </c>
      <c r="F1836" s="466">
        <f>'Input (4) &amp; Process (8)'!F45</f>
        <v>537.13055853742333</v>
      </c>
      <c r="G1836" s="6">
        <f>'Input (4) &amp; Process (8)'!G45</f>
        <v>774.96420000000012</v>
      </c>
      <c r="H1836" s="6">
        <f>'Input (4) &amp; Process (8)'!H45</f>
        <v>4709.1330650579821</v>
      </c>
    </row>
    <row r="1837" spans="1:10" ht="18.75" customHeight="1" x14ac:dyDescent="0.25">
      <c r="A1837" s="42"/>
      <c r="B1837" s="196">
        <f>'Input (4) &amp; Process (8)'!B46</f>
        <v>6</v>
      </c>
      <c r="C1837" s="466">
        <f>'Input (4) &amp; Process (8)'!C46</f>
        <v>1.7521442731179939</v>
      </c>
      <c r="D1837" s="466">
        <f>'Input (4) &amp; Process (8)'!D46</f>
        <v>1.5690483759050533</v>
      </c>
      <c r="E1837" s="466">
        <f>'Input (4) &amp; Process (8)'!E46</f>
        <v>6.014272562039479</v>
      </c>
      <c r="F1837" s="466">
        <f>'Input (4) &amp; Process (8)'!F46</f>
        <v>521.85778782644513</v>
      </c>
      <c r="G1837" s="6">
        <f>'Input (4) &amp; Process (8)'!G46</f>
        <v>723.29992000000016</v>
      </c>
      <c r="H1837" s="6">
        <f>'Input (4) &amp; Process (8)'!H46</f>
        <v>5509.6072049699087</v>
      </c>
    </row>
    <row r="1838" spans="1:10" ht="18.75" customHeight="1" x14ac:dyDescent="0.25">
      <c r="A1838" s="42"/>
      <c r="B1838" s="196">
        <f>'Input (4) &amp; Process (8)'!B47</f>
        <v>7</v>
      </c>
      <c r="C1838" s="466">
        <f>'Input (4) &amp; Process (8)'!C47</f>
        <v>1.8069509293721477</v>
      </c>
      <c r="D1838" s="466">
        <f>'Input (4) &amp; Process (8)'!D47</f>
        <v>1.6238550321592071</v>
      </c>
      <c r="E1838" s="466">
        <f>'Input (4) &amp; Process (8)'!E47</f>
        <v>7.0156873159934596</v>
      </c>
      <c r="F1838" s="466">
        <f>'Input (4) &amp; Process (8)'!F47</f>
        <v>506.57862737992139</v>
      </c>
      <c r="G1838" s="6">
        <f>'Input (4) &amp; Process (8)'!G47</f>
        <v>671.63564000000019</v>
      </c>
      <c r="H1838" s="6">
        <f>'Input (4) &amp; Process (8)'!H47</f>
        <v>6262.9638538486106</v>
      </c>
    </row>
    <row r="1839" spans="1:10" ht="18.75" customHeight="1" x14ac:dyDescent="0.25">
      <c r="A1839" s="42"/>
      <c r="B1839" s="196">
        <f>'Input (4) &amp; Process (8)'!B48</f>
        <v>8</v>
      </c>
      <c r="C1839" s="466">
        <f>'Input (4) &amp; Process (8)'!C48</f>
        <v>1.8576978333111791</v>
      </c>
      <c r="D1839" s="466">
        <f>'Input (4) &amp; Process (8)'!D48</f>
        <v>1.6746019360982385</v>
      </c>
      <c r="E1839" s="466">
        <f>'Input (4) &amp; Process (8)'!E48</f>
        <v>8.0168593820700487</v>
      </c>
      <c r="F1839" s="466">
        <f>'Input (4) &amp; Process (8)'!F48</f>
        <v>491.29326086924539</v>
      </c>
      <c r="G1839" s="6">
        <f>'Input (4) &amp; Process (8)'!G48</f>
        <v>619.97136000000012</v>
      </c>
      <c r="H1839" s="6">
        <f>'Input (4) &amp; Process (8)'!H48</f>
        <v>6969.2030116940905</v>
      </c>
    </row>
    <row r="1840" spans="1:10" ht="18.75" customHeight="1" x14ac:dyDescent="0.25">
      <c r="A1840" s="42"/>
      <c r="B1840" s="196">
        <f>'Input (4) &amp; Process (8)'!B49</f>
        <v>9</v>
      </c>
      <c r="C1840" s="466">
        <f>'Input (4) &amp; Process (8)'!C49</f>
        <v>1.904384984935088</v>
      </c>
      <c r="D1840" s="466">
        <f>'Input (4) &amp; Process (8)'!D49</f>
        <v>1.7212890877221474</v>
      </c>
      <c r="E1840" s="466">
        <f>'Input (4) &amp; Process (8)'!E49</f>
        <v>9.017801053450647</v>
      </c>
      <c r="F1840" s="466">
        <f>'Input (4) &amp; Process (8)'!F49</f>
        <v>476.00187234368116</v>
      </c>
      <c r="G1840" s="6">
        <f>'Input (4) &amp; Process (8)'!G49</f>
        <v>568.30708000000016</v>
      </c>
      <c r="H1840" s="6">
        <f>'Input (4) &amp; Process (8)'!H49</f>
        <v>7628.3246785063466</v>
      </c>
    </row>
    <row r="1841" spans="1:9" ht="18.75" customHeight="1" x14ac:dyDescent="0.25">
      <c r="A1841" s="42"/>
      <c r="B1841" s="196">
        <f>'Input (4) &amp; Process (8)'!B50</f>
        <v>10</v>
      </c>
      <c r="C1841" s="466">
        <f>'Input (4) &amp; Process (8)'!C50</f>
        <v>1.9470123842438745</v>
      </c>
      <c r="D1841" s="466">
        <f>'Input (4) &amp; Process (8)'!D50</f>
        <v>1.7639164870309338</v>
      </c>
      <c r="E1841" s="466">
        <f>'Input (4) &amp; Process (8)'!E50</f>
        <v>10.01852462937299</v>
      </c>
      <c r="F1841" s="466">
        <f>'Input (4) &amp; Process (8)'!F50</f>
        <v>460.70464621948514</v>
      </c>
      <c r="G1841" s="6">
        <f>'Input (4) &amp; Process (8)'!G50</f>
        <v>516.64280000000008</v>
      </c>
      <c r="H1841" s="6">
        <f>'Input (4) &amp; Process (8)'!H50</f>
        <v>8240.3288542853788</v>
      </c>
    </row>
    <row r="1842" spans="1:9" ht="18.75" customHeight="1" x14ac:dyDescent="0.25">
      <c r="A1842" s="42"/>
      <c r="B1842" s="196">
        <f>'Input (4) &amp; Process (8)'!B51</f>
        <v>11</v>
      </c>
      <c r="C1842" s="466">
        <f>'Input (4) &amp; Process (8)'!C51</f>
        <v>1.9855800312375385</v>
      </c>
      <c r="D1842" s="466">
        <f>'Input (4) &amp; Process (8)'!D51</f>
        <v>1.8024841340245978</v>
      </c>
      <c r="E1842" s="466">
        <f>'Input (4) &amp; Process (8)'!E51</f>
        <v>11.019042414883394</v>
      </c>
      <c r="F1842" s="466">
        <f>'Input (4) &amp; Process (8)'!F51</f>
        <v>445.40176726897528</v>
      </c>
      <c r="G1842" s="6">
        <f>'Input (4) &amp; Process (8)'!G51</f>
        <v>464.97852000000006</v>
      </c>
      <c r="H1842" s="6">
        <f>'Input (4) &amp; Process (8)'!H51</f>
        <v>8805.2155390311855</v>
      </c>
    </row>
    <row r="1843" spans="1:9" ht="18.75" customHeight="1" x14ac:dyDescent="0.25">
      <c r="A1843" s="42"/>
      <c r="B1843" s="196">
        <f>'Input (4) &amp; Process (8)'!B52</f>
        <v>12</v>
      </c>
      <c r="C1843" s="466">
        <f>'Input (4) &amp; Process (8)'!C52</f>
        <v>2.02008792591608</v>
      </c>
      <c r="D1843" s="466">
        <f>'Input (4) &amp; Process (8)'!D52</f>
        <v>1.8369920287031394</v>
      </c>
      <c r="E1843" s="466">
        <f>'Input (4) &amp; Process (8)'!E52</f>
        <v>12.01936672058843</v>
      </c>
      <c r="F1843" s="466">
        <f>'Input (4) &amp; Process (8)'!F52</f>
        <v>430.0934206095497</v>
      </c>
      <c r="G1843" s="6">
        <f>'Input (4) &amp; Process (8)'!G52</f>
        <v>413.3142400000001</v>
      </c>
      <c r="H1843" s="6">
        <f>'Input (4) &amp; Process (8)'!H52</f>
        <v>9322.984732743771</v>
      </c>
    </row>
    <row r="1844" spans="1:9" ht="18.75" customHeight="1" x14ac:dyDescent="0.25">
      <c r="A1844" s="42"/>
      <c r="B1844" s="196">
        <f>'Input (4) &amp; Process (8)'!B53</f>
        <v>13</v>
      </c>
      <c r="C1844" s="466">
        <f>'Input (4) &amp; Process (8)'!C53</f>
        <v>2.0505360682794986</v>
      </c>
      <c r="D1844" s="466">
        <f>'Input (4) &amp; Process (8)'!D53</f>
        <v>1.867440171066558</v>
      </c>
      <c r="E1844" s="466">
        <f>'Input (4) &amp; Process (8)'!E53</f>
        <v>13.019509862406096</v>
      </c>
      <c r="F1844" s="466">
        <f>'Input (4) &amp; Process (8)'!F53</f>
        <v>414.77979169265637</v>
      </c>
      <c r="G1844" s="6">
        <f>'Input (4) &amp; Process (8)'!G53</f>
        <v>361.64996000000008</v>
      </c>
      <c r="H1844" s="6">
        <f>'Input (4) &amp; Process (8)'!H53</f>
        <v>9793.6364354231337</v>
      </c>
    </row>
    <row r="1845" spans="1:9" ht="18.75" customHeight="1" x14ac:dyDescent="0.25">
      <c r="A1845" s="42"/>
      <c r="B1845" s="196">
        <f>'Input (4) &amp; Process (8)'!B54</f>
        <v>14</v>
      </c>
      <c r="C1845" s="466">
        <f>'Input (4) &amp; Process (8)'!C54</f>
        <v>2.0769244583277948</v>
      </c>
      <c r="D1845" s="466">
        <f>'Input (4) &amp; Process (8)'!D54</f>
        <v>1.8938285611148542</v>
      </c>
      <c r="E1845" s="466">
        <f>'Input (4) &amp; Process (8)'!E54</f>
        <v>14.01948416131647</v>
      </c>
      <c r="F1845" s="466">
        <f>'Input (4) &amp; Process (8)'!F54</f>
        <v>399.46106629271679</v>
      </c>
      <c r="G1845" s="6">
        <f>'Input (4) &amp; Process (8)'!G54</f>
        <v>309.98568000000006</v>
      </c>
      <c r="H1845" s="6">
        <f>'Input (4) &amp; Process (8)'!H54</f>
        <v>10217.170647069273</v>
      </c>
    </row>
    <row r="1846" spans="1:9" ht="18.75" customHeight="1" x14ac:dyDescent="0.25">
      <c r="A1846" s="42"/>
      <c r="B1846" s="196">
        <f>'Input (4) &amp; Process (8)'!B55</f>
        <v>15</v>
      </c>
      <c r="C1846" s="466">
        <f>'Input (4) &amp; Process (8)'!C55</f>
        <v>2.099253096060969</v>
      </c>
      <c r="D1846" s="466">
        <f>'Input (4) &amp; Process (8)'!D55</f>
        <v>1.9161571988480284</v>
      </c>
      <c r="E1846" s="466">
        <f>'Input (4) &amp; Process (8)'!E55</f>
        <v>15.019301943111882</v>
      </c>
      <c r="F1846" s="466">
        <f>'Input (4) &amp; Process (8)'!F55</f>
        <v>384.1374304960018</v>
      </c>
      <c r="G1846" s="6">
        <f>'Input (4) &amp; Process (8)'!G55</f>
        <v>258.32140000000004</v>
      </c>
      <c r="H1846" s="6">
        <f>'Input (4) &amp; Process (8)'!H55</f>
        <v>10593.587367682187</v>
      </c>
    </row>
    <row r="1847" spans="1:9" ht="18.75" customHeight="1" x14ac:dyDescent="0.25">
      <c r="A1847" s="42"/>
      <c r="B1847" s="196">
        <f>'Input (4) &amp; Process (8)'!B56</f>
        <v>16</v>
      </c>
      <c r="C1847" s="466">
        <f>'Input (4) &amp; Process (8)'!C56</f>
        <v>2.1175219814790198</v>
      </c>
      <c r="D1847" s="466">
        <f>'Input (4) &amp; Process (8)'!D56</f>
        <v>1.9344260842660792</v>
      </c>
      <c r="E1847" s="466">
        <f>'Input (4) &amp; Process (8)'!E56</f>
        <v>16.018975538146638</v>
      </c>
      <c r="F1847" s="466">
        <f>'Input (4) &amp; Process (8)'!F56</f>
        <v>368.80907068946266</v>
      </c>
      <c r="G1847" s="6">
        <f>'Input (4) &amp; Process (8)'!G56</f>
        <v>206.65712000000005</v>
      </c>
      <c r="H1847" s="6">
        <f>'Input (4) &amp; Process (8)'!H56</f>
        <v>10922.886597261881</v>
      </c>
    </row>
    <row r="1848" spans="1:9" ht="18.75" customHeight="1" x14ac:dyDescent="0.25">
      <c r="A1848" s="42"/>
      <c r="B1848" s="196">
        <f>'Input (4) &amp; Process (8)'!B57</f>
        <v>17</v>
      </c>
      <c r="C1848" s="466">
        <f>'Input (4) &amp; Process (8)'!C57</f>
        <v>2.1317311145819486</v>
      </c>
      <c r="D1848" s="466">
        <f>'Input (4) &amp; Process (8)'!D57</f>
        <v>1.948635217369008</v>
      </c>
      <c r="E1848" s="466">
        <f>'Input (4) &amp; Process (8)'!E57</f>
        <v>17.018517281086265</v>
      </c>
      <c r="F1848" s="466">
        <f>'Input (4) &amp; Process (8)'!F57</f>
        <v>353.47617354952354</v>
      </c>
      <c r="G1848" s="6">
        <f>'Input (4) &amp; Process (8)'!G57</f>
        <v>154.99284000000003</v>
      </c>
      <c r="H1848" s="6">
        <f>'Input (4) &amp; Process (8)'!H57</f>
        <v>11205.068335808346</v>
      </c>
    </row>
    <row r="1849" spans="1:9" ht="18.75" customHeight="1" x14ac:dyDescent="0.25">
      <c r="A1849" s="42"/>
      <c r="B1849" s="196">
        <f>'Input (4) &amp; Process (8)'!B58</f>
        <v>18</v>
      </c>
      <c r="C1849" s="466">
        <f>'Input (4) &amp; Process (8)'!C58</f>
        <v>2.141880495369755</v>
      </c>
      <c r="D1849" s="466">
        <f>'Input (4) &amp; Process (8)'!D58</f>
        <v>1.9587845981568144</v>
      </c>
      <c r="E1849" s="466">
        <f>'Input (4) &amp; Process (8)'!E58</f>
        <v>18.017939510656401</v>
      </c>
      <c r="F1849" s="466">
        <f>'Input (4) &amp; Process (8)'!F58</f>
        <v>338.13892603082678</v>
      </c>
      <c r="G1849" s="6">
        <f>'Input (4) &amp; Process (8)'!G58</f>
        <v>103.32856000000002</v>
      </c>
      <c r="H1849" s="6">
        <f>'Input (4) &amp; Process (8)'!H58</f>
        <v>11440.132583321592</v>
      </c>
    </row>
    <row r="1850" spans="1:9" ht="18.75" customHeight="1" x14ac:dyDescent="0.25">
      <c r="A1850" s="42"/>
      <c r="B1850" s="196">
        <f>'Input (4) &amp; Process (8)'!B59</f>
        <v>19</v>
      </c>
      <c r="C1850" s="466">
        <f>'Input (4) &amp; Process (8)'!C59</f>
        <v>2.1479701238424389</v>
      </c>
      <c r="D1850" s="466">
        <f>'Input (4) &amp; Process (8)'!D59</f>
        <v>1.9648742266294983</v>
      </c>
      <c r="E1850" s="466">
        <f>'Input (4) &amp; Process (8)'!E59</f>
        <v>19.017254569391209</v>
      </c>
      <c r="F1850" s="466">
        <f>'Input (4) &amp; Process (8)'!F59</f>
        <v>322.79751535494319</v>
      </c>
      <c r="G1850" s="6">
        <f>'Input (4) &amp; Process (8)'!G59</f>
        <v>51.664280000000012</v>
      </c>
      <c r="H1850" s="6">
        <f>'Input (4) &amp; Process (8)'!H59</f>
        <v>11628.079339801612</v>
      </c>
    </row>
    <row r="1851" spans="1:9" ht="18.75" customHeight="1" x14ac:dyDescent="0.25">
      <c r="A1851" s="42"/>
      <c r="B1851" s="196">
        <f>'Input (4) &amp; Process (8)'!B60</f>
        <v>20</v>
      </c>
      <c r="C1851" s="466">
        <f>'Input (4) &amp; Process (8)'!C60</f>
        <v>2.1500000000000004</v>
      </c>
      <c r="D1851" s="466">
        <f>'Input (4) &amp; Process (8)'!D60</f>
        <v>1.9669041027870597</v>
      </c>
      <c r="E1851" s="466">
        <f>'Input (4) &amp; Process (8)'!E60</f>
        <v>20.016474803381481</v>
      </c>
      <c r="F1851" s="466">
        <f>'Input (4) &amp; Process (8)'!F60</f>
        <v>307.45212899904175</v>
      </c>
      <c r="G1851" s="6">
        <f>'Input (4) &amp; Process (8)'!G60</f>
        <v>3.0515199301858855</v>
      </c>
      <c r="H1851" s="6">
        <f>'Input (4) &amp; Process (8)'!H60</f>
        <v>11768.908605248413</v>
      </c>
    </row>
    <row r="1852" spans="1:9" ht="18.75" customHeight="1" x14ac:dyDescent="0.25">
      <c r="A1852" s="42"/>
    </row>
    <row r="1853" spans="1:9" ht="18.75" customHeight="1" x14ac:dyDescent="0.25">
      <c r="A1853" s="42"/>
      <c r="B1853" s="471"/>
      <c r="C1853" s="636" t="s">
        <v>1217</v>
      </c>
      <c r="D1853" s="636"/>
      <c r="E1853" s="637" t="s">
        <v>1218</v>
      </c>
      <c r="F1853" s="638"/>
      <c r="G1853" s="470" t="s">
        <v>1194</v>
      </c>
      <c r="H1853" s="470" t="s">
        <v>1207</v>
      </c>
      <c r="I1853" s="471" t="s">
        <v>1219</v>
      </c>
    </row>
    <row r="1854" spans="1:9" ht="18.75" customHeight="1" x14ac:dyDescent="0.25">
      <c r="A1854" s="42"/>
      <c r="B1854" s="471"/>
      <c r="C1854" s="454" t="s">
        <v>1189</v>
      </c>
      <c r="D1854" s="454" t="s">
        <v>1190</v>
      </c>
      <c r="E1854" s="471" t="s">
        <v>1189</v>
      </c>
      <c r="F1854" s="471" t="s">
        <v>1193</v>
      </c>
      <c r="G1854" s="448"/>
      <c r="H1854" s="449" t="s">
        <v>1208</v>
      </c>
      <c r="I1854" s="471" t="s">
        <v>40</v>
      </c>
    </row>
    <row r="1855" spans="1:9" ht="18.75" customHeight="1" x14ac:dyDescent="0.25">
      <c r="A1855" s="42"/>
      <c r="B1855" s="196">
        <f>'Input (4) &amp; Process (8)'!B64</f>
        <v>0</v>
      </c>
      <c r="C1855" s="450"/>
      <c r="D1855" s="450"/>
      <c r="E1855" s="20">
        <f>'Input (4) &amp; Process (8)'!C64</f>
        <v>-5.9484187457366361E-3</v>
      </c>
      <c r="F1855" s="20">
        <f>'Input (4) &amp; Process (8)'!D64</f>
        <v>0</v>
      </c>
      <c r="G1855" s="466">
        <f>'Input (4) &amp; Process (8)'!E64</f>
        <v>4.8</v>
      </c>
      <c r="H1855" s="6">
        <f>'Input (4) &amp; Process (8)'!F64</f>
        <v>29</v>
      </c>
      <c r="I1855" s="466">
        <f>'Input (4) &amp; Process (8)'!G64</f>
        <v>650.72707874372816</v>
      </c>
    </row>
    <row r="1856" spans="1:9" ht="18.75" customHeight="1" x14ac:dyDescent="0.25">
      <c r="A1856" s="42"/>
      <c r="B1856" s="196">
        <f>'Input (4) &amp; Process (8)'!B65</f>
        <v>1</v>
      </c>
      <c r="C1856" s="466">
        <f>'Input (4) &amp; Process (8)'!I41</f>
        <v>2.1892751180573358</v>
      </c>
      <c r="D1856" s="207" t="str">
        <f>'Input (4) &amp; Process (8)'!J41</f>
        <v>[ OK ]</v>
      </c>
      <c r="E1856" s="20">
        <f>'Input (4) &amp; Process (8)'!C65</f>
        <v>-5.8019729564192908E-3</v>
      </c>
      <c r="F1856" s="20">
        <f>'Input (4) &amp; Process (8)'!D65</f>
        <v>0</v>
      </c>
      <c r="G1856" s="466">
        <f>'Input (4) &amp; Process (8)'!E65</f>
        <v>4.8</v>
      </c>
      <c r="H1856" s="6">
        <f>'Input (4) &amp; Process (8)'!F65</f>
        <v>29</v>
      </c>
      <c r="I1856" s="466">
        <f>'Input (4) &amp; Process (8)'!G65</f>
        <v>695.33053132666009</v>
      </c>
    </row>
    <row r="1857" spans="1:9" ht="18.75" customHeight="1" x14ac:dyDescent="0.25">
      <c r="A1857" s="42"/>
      <c r="B1857" s="196">
        <f>'Input (4) &amp; Process (8)'!B66</f>
        <v>2</v>
      </c>
      <c r="C1857" s="466">
        <f>'Input (4) &amp; Process (8)'!I42</f>
        <v>4.4567907766860895</v>
      </c>
      <c r="D1857" s="207" t="str">
        <f>'Input (4) &amp; Process (8)'!J42</f>
        <v>[ OK ]</v>
      </c>
      <c r="E1857" s="20">
        <f>'Input (4) &amp; Process (8)'!C66</f>
        <v>-5.2841256874816061E-3</v>
      </c>
      <c r="F1857" s="20">
        <f>'Input (4) &amp; Process (8)'!D66</f>
        <v>0</v>
      </c>
      <c r="G1857" s="466">
        <f>'Input (4) &amp; Process (8)'!E66</f>
        <v>4.8</v>
      </c>
      <c r="H1857" s="6">
        <f>'Input (4) &amp; Process (8)'!F66</f>
        <v>29</v>
      </c>
      <c r="I1857" s="466">
        <f>'Input (4) &amp; Process (8)'!G66</f>
        <v>737.6466273668774</v>
      </c>
    </row>
    <row r="1858" spans="1:9" ht="18.75" customHeight="1" x14ac:dyDescent="0.25">
      <c r="A1858" s="42"/>
      <c r="B1858" s="196">
        <f>'Input (4) &amp; Process (8)'!B67</f>
        <v>3</v>
      </c>
      <c r="C1858" s="466">
        <f>'Input (4) &amp; Process (8)'!I43</f>
        <v>6.9195270945581875</v>
      </c>
      <c r="D1858" s="207" t="str">
        <f>'Input (4) &amp; Process (8)'!J43</f>
        <v>[ OK ]</v>
      </c>
      <c r="E1858" s="20">
        <f>'Input (4) &amp; Process (8)'!C67</f>
        <v>-4.8469238556355099E-3</v>
      </c>
      <c r="F1858" s="20">
        <f>'Input (4) &amp; Process (8)'!D67</f>
        <v>0</v>
      </c>
      <c r="G1858" s="466">
        <f>'Input (4) &amp; Process (8)'!E67</f>
        <v>4.8</v>
      </c>
      <c r="H1858" s="6">
        <f>'Input (4) &amp; Process (8)'!F67</f>
        <v>29</v>
      </c>
      <c r="I1858" s="466">
        <f>'Input (4) &amp; Process (8)'!G67</f>
        <v>777.67536686438029</v>
      </c>
    </row>
    <row r="1859" spans="1:9" ht="18.75" customHeight="1" x14ac:dyDescent="0.25">
      <c r="A1859" s="42"/>
      <c r="B1859" s="196">
        <f>'Input (4) &amp; Process (8)'!B68</f>
        <v>4</v>
      </c>
      <c r="C1859" s="466">
        <f>'Input (4) &amp; Process (8)'!I44</f>
        <v>9.7296609116585842</v>
      </c>
      <c r="D1859" s="207" t="str">
        <f>'Input (4) &amp; Process (8)'!J44</f>
        <v>[ OK ]</v>
      </c>
      <c r="E1859" s="20">
        <f>'Input (4) &amp; Process (8)'!C68</f>
        <v>-4.4745743682888138E-3</v>
      </c>
      <c r="F1859" s="20">
        <f>'Input (4) &amp; Process (8)'!D68</f>
        <v>0</v>
      </c>
      <c r="G1859" s="466">
        <f>'Input (4) &amp; Process (8)'!E68</f>
        <v>4.8</v>
      </c>
      <c r="H1859" s="6">
        <f>'Input (4) &amp; Process (8)'!F68</f>
        <v>29</v>
      </c>
      <c r="I1859" s="466">
        <f>'Input (4) &amp; Process (8)'!G68</f>
        <v>815.41674981916913</v>
      </c>
    </row>
    <row r="1860" spans="1:9" ht="18.75" customHeight="1" x14ac:dyDescent="0.25">
      <c r="A1860" s="42"/>
      <c r="B1860" s="196">
        <f>'Input (4) &amp; Process (8)'!B69</f>
        <v>5</v>
      </c>
      <c r="C1860" s="466">
        <f>'Input (4) &amp; Process (8)'!I45</f>
        <v>13.111077871437516</v>
      </c>
      <c r="D1860" s="207" t="str">
        <f>'Input (4) &amp; Process (8)'!J45</f>
        <v>[ OK ]</v>
      </c>
      <c r="E1860" s="20">
        <f>'Input (4) &amp; Process (8)'!C69</f>
        <v>-4.1552172797371832E-3</v>
      </c>
      <c r="F1860" s="20">
        <f>'Input (4) &amp; Process (8)'!D69</f>
        <v>0</v>
      </c>
      <c r="G1860" s="466">
        <f>'Input (4) &amp; Process (8)'!E69</f>
        <v>4.8</v>
      </c>
      <c r="H1860" s="6">
        <f>'Input (4) &amp; Process (8)'!F69</f>
        <v>29</v>
      </c>
      <c r="I1860" s="466">
        <f>'Input (4) &amp; Process (8)'!G69</f>
        <v>850.87077623124321</v>
      </c>
    </row>
    <row r="1861" spans="1:9" ht="18.75" customHeight="1" x14ac:dyDescent="0.25">
      <c r="A1861" s="42"/>
      <c r="B1861" s="196">
        <f>'Input (4) &amp; Process (8)'!B70</f>
        <v>6</v>
      </c>
      <c r="C1861" s="466">
        <f>'Input (4) &amp; Process (8)'!I46</f>
        <v>17.431469270071787</v>
      </c>
      <c r="D1861" s="207" t="str">
        <f>'Input (4) &amp; Process (8)'!J46</f>
        <v>[ OK ]</v>
      </c>
      <c r="E1861" s="20">
        <f>'Input (4) &amp; Process (8)'!C70</f>
        <v>-3.8797793528190321E-3</v>
      </c>
      <c r="F1861" s="20">
        <f>'Input (4) &amp; Process (8)'!D70</f>
        <v>0</v>
      </c>
      <c r="G1861" s="466">
        <f>'Input (4) &amp; Process (8)'!E70</f>
        <v>4.8</v>
      </c>
      <c r="H1861" s="6">
        <f>'Input (4) &amp; Process (8)'!F70</f>
        <v>29</v>
      </c>
      <c r="I1861" s="466">
        <f>'Input (4) &amp; Process (8)'!G70</f>
        <v>884.03744610060289</v>
      </c>
    </row>
    <row r="1862" spans="1:9" ht="18.75" customHeight="1" x14ac:dyDescent="0.25">
      <c r="A1862" s="42"/>
      <c r="B1862" s="196">
        <f>'Input (4) &amp; Process (8)'!B71</f>
        <v>7</v>
      </c>
      <c r="C1862" s="466">
        <f>'Input (4) &amp; Process (8)'!I47</f>
        <v>23.366769215342355</v>
      </c>
      <c r="D1862" s="207" t="str">
        <f>'Input (4) &amp; Process (8)'!J47</f>
        <v>[ OK ]</v>
      </c>
      <c r="E1862" s="20">
        <f>'Input (4) &amp; Process (8)'!C71</f>
        <v>-3.6412072780593681E-3</v>
      </c>
      <c r="F1862" s="20">
        <f>'Input (4) &amp; Process (8)'!D71</f>
        <v>0</v>
      </c>
      <c r="G1862" s="466">
        <f>'Input (4) &amp; Process (8)'!E71</f>
        <v>4.8</v>
      </c>
      <c r="H1862" s="6">
        <f>'Input (4) &amp; Process (8)'!F71</f>
        <v>29</v>
      </c>
      <c r="I1862" s="466">
        <f>'Input (4) &amp; Process (8)'!G71</f>
        <v>914.91675942724805</v>
      </c>
    </row>
    <row r="1863" spans="1:9" ht="18.75" customHeight="1" x14ac:dyDescent="0.25">
      <c r="A1863" s="42"/>
      <c r="B1863" s="196">
        <f>'Input (4) &amp; Process (8)'!B72</f>
        <v>8</v>
      </c>
      <c r="C1863" s="466">
        <f>'Input (4) &amp; Process (8)'!I48</f>
        <v>32.342001274140593</v>
      </c>
      <c r="D1863" s="207" t="str">
        <f>'Input (4) &amp; Process (8)'!J48</f>
        <v>[ OK ]</v>
      </c>
      <c r="E1863" s="20">
        <f>'Input (4) &amp; Process (8)'!C72</f>
        <v>-3.4339416489557674E-3</v>
      </c>
      <c r="F1863" s="20">
        <f>'Input (4) &amp; Process (8)'!D72</f>
        <v>0</v>
      </c>
      <c r="G1863" s="466">
        <f>'Input (4) &amp; Process (8)'!E72</f>
        <v>4.8</v>
      </c>
      <c r="H1863" s="6">
        <f>'Input (4) &amp; Process (8)'!F72</f>
        <v>29</v>
      </c>
      <c r="I1863" s="466">
        <f>'Input (4) &amp; Process (8)'!G72</f>
        <v>943.50871621117858</v>
      </c>
    </row>
    <row r="1864" spans="1:9" ht="18.75" customHeight="1" x14ac:dyDescent="0.25">
      <c r="A1864" s="42"/>
      <c r="B1864" s="196">
        <f>'Input (4) &amp; Process (8)'!B73</f>
        <v>9</v>
      </c>
      <c r="C1864" s="466">
        <f>'Input (4) &amp; Process (8)'!I49</f>
        <v>48.011928441897531</v>
      </c>
      <c r="D1864" s="207" t="str">
        <f>'Input (4) &amp; Process (8)'!J49</f>
        <v>[ OK ]</v>
      </c>
      <c r="E1864" s="20">
        <f>'Input (4) &amp; Process (8)'!C73</f>
        <v>-3.2535480042240683E-3</v>
      </c>
      <c r="F1864" s="20">
        <f>'Input (4) &amp; Process (8)'!D73</f>
        <v>0</v>
      </c>
      <c r="G1864" s="466">
        <f>'Input (4) &amp; Process (8)'!E73</f>
        <v>4.8</v>
      </c>
      <c r="H1864" s="6">
        <f>'Input (4) &amp; Process (8)'!F73</f>
        <v>29</v>
      </c>
      <c r="I1864" s="466">
        <f>'Input (4) &amp; Process (8)'!G73</f>
        <v>969.81331645239493</v>
      </c>
    </row>
    <row r="1865" spans="1:9" ht="18.75" customHeight="1" x14ac:dyDescent="0.25">
      <c r="A1865" s="42"/>
      <c r="B1865" s="196">
        <f>'Input (4) &amp; Process (8)'!B74</f>
        <v>10</v>
      </c>
      <c r="C1865" s="466">
        <f>'Input (4) &amp; Process (8)'!I50</f>
        <v>83.513828960200797</v>
      </c>
      <c r="D1865" s="207" t="str">
        <f>'Input (4) &amp; Process (8)'!J50</f>
        <v>[ OK ]</v>
      </c>
      <c r="E1865" s="20">
        <f>'Input (4) &amp; Process (8)'!C74</f>
        <v>-3.0964529426927923E-3</v>
      </c>
      <c r="F1865" s="20">
        <f>'Input (4) &amp; Process (8)'!D74</f>
        <v>0</v>
      </c>
      <c r="G1865" s="466">
        <f>'Input (4) &amp; Process (8)'!E74</f>
        <v>4.8</v>
      </c>
      <c r="H1865" s="6">
        <f>'Input (4) &amp; Process (8)'!F74</f>
        <v>29</v>
      </c>
      <c r="I1865" s="466">
        <f>'Input (4) &amp; Process (8)'!G74</f>
        <v>993.83056015089664</v>
      </c>
    </row>
    <row r="1866" spans="1:9" ht="18.75" customHeight="1" x14ac:dyDescent="0.25">
      <c r="A1866" s="42"/>
      <c r="B1866" s="196">
        <f>'Input (4) &amp; Process (8)'!B75</f>
        <v>11</v>
      </c>
      <c r="C1866" s="466">
        <f>'Input (4) &amp; Process (8)'!I51</f>
        <v>249.53294104973997</v>
      </c>
      <c r="D1866" s="207" t="str">
        <f>'Input (4) &amp; Process (8)'!J51</f>
        <v>[ OK ]</v>
      </c>
      <c r="E1866" s="20">
        <f>'Input (4) &amp; Process (8)'!C75</f>
        <v>-2.9597521220647688E-3</v>
      </c>
      <c r="F1866" s="20">
        <f>'Input (4) &amp; Process (8)'!D75</f>
        <v>0</v>
      </c>
      <c r="G1866" s="466">
        <f>'Input (4) &amp; Process (8)'!E75</f>
        <v>4.8</v>
      </c>
      <c r="H1866" s="6">
        <f>'Input (4) &amp; Process (8)'!F75</f>
        <v>29</v>
      </c>
      <c r="I1866" s="466">
        <f>'Input (4) &amp; Process (8)'!G75</f>
        <v>1015.5604473066842</v>
      </c>
    </row>
    <row r="1867" spans="1:9" ht="18.75" customHeight="1" x14ac:dyDescent="0.25">
      <c r="A1867" s="42"/>
      <c r="B1867" s="196">
        <f>'Input (4) &amp; Process (8)'!B76</f>
        <v>12</v>
      </c>
      <c r="C1867" s="466">
        <f>'Input (4) &amp; Process (8)'!I52</f>
        <v>302.46627126675247</v>
      </c>
      <c r="D1867" s="207" t="str">
        <f>'Input (4) &amp; Process (8)'!J52</f>
        <v>[ OK ]</v>
      </c>
      <c r="E1867" s="20">
        <f>'Input (4) &amp; Process (8)'!C76</f>
        <v>-2.8151614276578358E-3</v>
      </c>
      <c r="F1867" s="20">
        <f>'Input (4) &amp; Process (8)'!D76</f>
        <v>0</v>
      </c>
      <c r="G1867" s="466">
        <f>'Input (4) &amp; Process (8)'!E76</f>
        <v>4.8</v>
      </c>
      <c r="H1867" s="6">
        <f>'Input (4) &amp; Process (8)'!F76</f>
        <v>29</v>
      </c>
      <c r="I1867" s="466">
        <f>'Input (4) &amp; Process (8)'!G76</f>
        <v>1035.0029779197573</v>
      </c>
    </row>
    <row r="1868" spans="1:9" ht="18.75" customHeight="1" x14ac:dyDescent="0.25">
      <c r="A1868" s="42"/>
      <c r="B1868" s="196">
        <f>'Input (4) &amp; Process (8)'!B77</f>
        <v>13</v>
      </c>
      <c r="C1868" s="466">
        <f>'Input (4) &amp; Process (8)'!I53</f>
        <v>98.709474743057683</v>
      </c>
      <c r="D1868" s="207" t="str">
        <f>'Input (4) &amp; Process (8)'!J53</f>
        <v>[ OK ]</v>
      </c>
      <c r="E1868" s="20">
        <f>'Input (4) &amp; Process (8)'!C77</f>
        <v>-2.6564135875017264E-3</v>
      </c>
      <c r="F1868" s="20">
        <f>'Input (4) &amp; Process (8)'!D77</f>
        <v>0</v>
      </c>
      <c r="G1868" s="466">
        <f>'Input (4) &amp; Process (8)'!E77</f>
        <v>4.8</v>
      </c>
      <c r="H1868" s="6">
        <f>'Input (4) &amp; Process (8)'!F77</f>
        <v>29</v>
      </c>
      <c r="I1868" s="466">
        <f>'Input (4) &amp; Process (8)'!G77</f>
        <v>1052.1581519901154</v>
      </c>
    </row>
    <row r="1869" spans="1:9" ht="18.75" customHeight="1" x14ac:dyDescent="0.25">
      <c r="A1869" s="42"/>
      <c r="B1869" s="196">
        <f>'Input (4) &amp; Process (8)'!B78</f>
        <v>14</v>
      </c>
      <c r="C1869" s="466">
        <f>'Input (4) &amp; Process (8)'!I54</f>
        <v>60.29570855262336</v>
      </c>
      <c r="D1869" s="207" t="str">
        <f>'Input (4) &amp; Process (8)'!J54</f>
        <v>[ OK ]</v>
      </c>
      <c r="E1869" s="20">
        <f>'Input (4) &amp; Process (8)'!C78</f>
        <v>-2.5121196085288603E-3</v>
      </c>
      <c r="F1869" s="20">
        <f>'Input (4) &amp; Process (8)'!D78</f>
        <v>0</v>
      </c>
      <c r="G1869" s="466">
        <f>'Input (4) &amp; Process (8)'!E78</f>
        <v>4.8</v>
      </c>
      <c r="H1869" s="6">
        <f>'Input (4) &amp; Process (8)'!F78</f>
        <v>29</v>
      </c>
      <c r="I1869" s="466">
        <f>'Input (4) &amp; Process (8)'!G78</f>
        <v>1067.0259695177592</v>
      </c>
    </row>
    <row r="1870" spans="1:9" ht="18.75" customHeight="1" x14ac:dyDescent="0.25">
      <c r="A1870" s="42"/>
      <c r="B1870" s="196">
        <f>'Input (4) &amp; Process (8)'!B79</f>
        <v>15</v>
      </c>
      <c r="C1870" s="466">
        <f>'Input (4) &amp; Process (8)'!I55</f>
        <v>43.941607296609092</v>
      </c>
      <c r="D1870" s="207" t="str">
        <f>'Input (4) &amp; Process (8)'!J55</f>
        <v>[ OK ]</v>
      </c>
      <c r="E1870" s="20">
        <f>'Input (4) &amp; Process (8)'!C79</f>
        <v>-2.3809435537872361E-3</v>
      </c>
      <c r="F1870" s="20">
        <f>'Input (4) &amp; Process (8)'!D79</f>
        <v>0</v>
      </c>
      <c r="G1870" s="466">
        <f>'Input (4) &amp; Process (8)'!E79</f>
        <v>4.8</v>
      </c>
      <c r="H1870" s="6">
        <f>'Input (4) &amp; Process (8)'!F79</f>
        <v>29</v>
      </c>
      <c r="I1870" s="466">
        <f>'Input (4) &amp; Process (8)'!G79</f>
        <v>1079.6064305026891</v>
      </c>
    </row>
    <row r="1871" spans="1:9" ht="18.75" customHeight="1" x14ac:dyDescent="0.25">
      <c r="A1871" s="42"/>
      <c r="B1871" s="196">
        <f>'Input (4) &amp; Process (8)'!B80</f>
        <v>16</v>
      </c>
      <c r="C1871" s="466">
        <f>'Input (4) &amp; Process (8)'!I56</f>
        <v>34.822753409519699</v>
      </c>
      <c r="D1871" s="207" t="str">
        <f>'Input (4) &amp; Process (8)'!J56</f>
        <v>[ OK ]</v>
      </c>
      <c r="E1871" s="20">
        <f>'Input (4) &amp; Process (8)'!C80</f>
        <v>-2.2617819026024555E-3</v>
      </c>
      <c r="F1871" s="20">
        <f>'Input (4) &amp; Process (8)'!D80</f>
        <v>0</v>
      </c>
      <c r="G1871" s="466">
        <f>'Input (4) &amp; Process (8)'!E80</f>
        <v>4.8</v>
      </c>
      <c r="H1871" s="6">
        <f>'Input (4) &amp; Process (8)'!F80</f>
        <v>29</v>
      </c>
      <c r="I1871" s="466">
        <f>'Input (4) &amp; Process (8)'!G80</f>
        <v>1089.8995349449037</v>
      </c>
    </row>
    <row r="1872" spans="1:9" ht="18.75" customHeight="1" x14ac:dyDescent="0.25">
      <c r="A1872" s="42"/>
      <c r="B1872" s="196">
        <f>'Input (4) &amp; Process (8)'!B81</f>
        <v>17</v>
      </c>
      <c r="C1872" s="466">
        <f>'Input (4) &amp; Process (8)'!I57</f>
        <v>28.97076190590429</v>
      </c>
      <c r="D1872" s="207" t="str">
        <f>'Input (4) &amp; Process (8)'!J57</f>
        <v>[ OK ]</v>
      </c>
      <c r="E1872" s="20">
        <f>'Input (4) &amp; Process (8)'!C81</f>
        <v>-2.1537272471858679E-3</v>
      </c>
      <c r="F1872" s="20">
        <f>'Input (4) &amp; Process (8)'!D81</f>
        <v>0</v>
      </c>
      <c r="G1872" s="466">
        <f>'Input (4) &amp; Process (8)'!E81</f>
        <v>4.8</v>
      </c>
      <c r="H1872" s="6">
        <f>'Input (4) &amp; Process (8)'!F81</f>
        <v>29</v>
      </c>
      <c r="I1872" s="466">
        <f>'Input (4) &amp; Process (8)'!G81</f>
        <v>1097.9052828444042</v>
      </c>
    </row>
    <row r="1873" spans="1:9" ht="18.75" customHeight="1" x14ac:dyDescent="0.25">
      <c r="A1873" s="42"/>
      <c r="B1873" s="196">
        <f>'Input (4) &amp; Process (8)'!B82</f>
        <v>18</v>
      </c>
      <c r="C1873" s="466">
        <f>'Input (4) &amp; Process (8)'!I58</f>
        <v>24.872939391433505</v>
      </c>
      <c r="D1873" s="207" t="str">
        <f>'Input (4) &amp; Process (8)'!J58</f>
        <v>[ OK ]</v>
      </c>
      <c r="E1873" s="20">
        <f>'Input (4) &amp; Process (8)'!C82</f>
        <v>-2.0560403434252889E-3</v>
      </c>
      <c r="F1873" s="20">
        <f>'Input (4) &amp; Process (8)'!D82</f>
        <v>0</v>
      </c>
      <c r="G1873" s="466">
        <f>'Input (4) &amp; Process (8)'!E82</f>
        <v>4.8</v>
      </c>
      <c r="H1873" s="6">
        <f>'Input (4) &amp; Process (8)'!F82</f>
        <v>29</v>
      </c>
      <c r="I1873" s="466">
        <f>'Input (4) &amp; Process (8)'!G82</f>
        <v>1103.6236742011904</v>
      </c>
    </row>
    <row r="1874" spans="1:9" ht="18.75" customHeight="1" x14ac:dyDescent="0.25">
      <c r="A1874" s="42"/>
      <c r="B1874" s="196">
        <f>'Input (4) &amp; Process (8)'!B83</f>
        <v>19</v>
      </c>
      <c r="C1874" s="466">
        <f>'Input (4) &amp; Process (8)'!I59</f>
        <v>21.826820350552584</v>
      </c>
      <c r="D1874" s="207" t="str">
        <f>'Input (4) &amp; Process (8)'!J59</f>
        <v>[ OK ]</v>
      </c>
      <c r="E1874" s="20">
        <f>'Input (4) &amp; Process (8)'!C83</f>
        <v>-1.9681287594323729E-3</v>
      </c>
      <c r="F1874" s="20">
        <f>'Input (4) &amp; Process (8)'!D83</f>
        <v>0</v>
      </c>
      <c r="G1874" s="466">
        <f>'Input (4) &amp; Process (8)'!E83</f>
        <v>4.8</v>
      </c>
      <c r="H1874" s="6">
        <f>'Input (4) &amp; Process (8)'!F83</f>
        <v>29</v>
      </c>
      <c r="I1874" s="466">
        <f>'Input (4) &amp; Process (8)'!G83</f>
        <v>1107.0547090152622</v>
      </c>
    </row>
    <row r="1875" spans="1:9" ht="18.75" customHeight="1" x14ac:dyDescent="0.25">
      <c r="A1875" s="42"/>
      <c r="B1875" s="196">
        <f>'Input (4) &amp; Process (8)'!B84</f>
        <v>20</v>
      </c>
      <c r="C1875" s="466">
        <f>'Input (4) &amp; Process (8)'!I60</f>
        <v>19.656558667891698</v>
      </c>
      <c r="D1875" s="207" t="str">
        <f>'Input (4) &amp; Process (8)'!J60</f>
        <v>[ OK ]</v>
      </c>
      <c r="E1875" s="20">
        <f>'Input (4) &amp; Process (8)'!C84</f>
        <v>-1.8918866324603349E-3</v>
      </c>
      <c r="F1875" s="20">
        <f>'Input (4) &amp; Process (8)'!D84</f>
        <v>0</v>
      </c>
      <c r="G1875" s="466">
        <f>'Input (4) &amp; Process (8)'!E84</f>
        <v>4.8</v>
      </c>
      <c r="H1875" s="6">
        <f>'Input (4) &amp; Process (8)'!F84</f>
        <v>29</v>
      </c>
      <c r="I1875" s="466">
        <f>'Input (4) &amp; Process (8)'!G84</f>
        <v>1108.1983872866194</v>
      </c>
    </row>
    <row r="1876" spans="1:9" ht="18.75" customHeight="1" x14ac:dyDescent="0.25">
      <c r="A1876" s="42"/>
    </row>
    <row r="1877" spans="1:9" ht="18.75" customHeight="1" x14ac:dyDescent="0.25">
      <c r="A1877" s="42"/>
    </row>
    <row r="1878" spans="1:9" ht="18.75" customHeight="1" x14ac:dyDescent="0.25">
      <c r="A1878" s="42"/>
    </row>
    <row r="1879" spans="1:9" ht="18.75" customHeight="1" x14ac:dyDescent="0.25">
      <c r="A1879" s="42"/>
    </row>
    <row r="1880" spans="1:9" ht="18.75" customHeight="1" x14ac:dyDescent="0.25">
      <c r="A1880" s="42"/>
    </row>
    <row r="1881" spans="1:9" ht="18.75" customHeight="1" x14ac:dyDescent="0.25">
      <c r="A1881" s="42"/>
    </row>
    <row r="1882" spans="1:9" ht="18.75" customHeight="1" x14ac:dyDescent="0.25">
      <c r="A1882" s="42"/>
    </row>
    <row r="1883" spans="1:9" ht="18.75" customHeight="1" x14ac:dyDescent="0.25">
      <c r="A1883" s="42"/>
    </row>
    <row r="1884" spans="1:9" ht="18.75" customHeight="1" x14ac:dyDescent="0.25">
      <c r="A1884" s="42"/>
      <c r="B1884" s="471"/>
      <c r="C1884" s="636" t="s">
        <v>1216</v>
      </c>
      <c r="D1884" s="636"/>
      <c r="E1884" s="471" t="s">
        <v>1196</v>
      </c>
      <c r="F1884" s="639" t="s">
        <v>1210</v>
      </c>
      <c r="G1884" s="639"/>
      <c r="H1884" s="471" t="s">
        <v>1211</v>
      </c>
      <c r="I1884" s="471" t="s">
        <v>1212</v>
      </c>
    </row>
    <row r="1885" spans="1:9" ht="18.75" customHeight="1" x14ac:dyDescent="0.25">
      <c r="A1885" s="42"/>
      <c r="B1885" s="471"/>
      <c r="C1885" s="454" t="s">
        <v>1189</v>
      </c>
      <c r="D1885" s="454" t="s">
        <v>1190</v>
      </c>
      <c r="E1885" s="471" t="s">
        <v>40</v>
      </c>
      <c r="F1885" s="471" t="s">
        <v>1209</v>
      </c>
      <c r="G1885" s="471" t="s">
        <v>1193</v>
      </c>
      <c r="H1885" s="471" t="s">
        <v>40</v>
      </c>
      <c r="I1885" s="471" t="s">
        <v>40</v>
      </c>
    </row>
    <row r="1886" spans="1:9" ht="18.75" customHeight="1" x14ac:dyDescent="0.25">
      <c r="A1886" s="42"/>
      <c r="B1886" s="196">
        <f>'Input (4) &amp; Process (8)'!B88</f>
        <v>0</v>
      </c>
      <c r="C1886" s="466">
        <f>'Input (4) &amp; Process (8)'!H64</f>
        <v>4.2343839017521825</v>
      </c>
      <c r="D1886" s="207" t="str">
        <f>'Input (4) &amp; Process (8)'!I64</f>
        <v>[ Perlu ]</v>
      </c>
      <c r="E1886" s="466">
        <f>'Input (4) &amp; Process (8)'!J64</f>
        <v>726.98705458960546</v>
      </c>
      <c r="F1886" s="451">
        <f>'Input (4) &amp; Process (8)'!C88</f>
        <v>319.552173663156</v>
      </c>
      <c r="G1886" s="207">
        <f>'Input (4) &amp; Process (8)'!D88</f>
        <v>200</v>
      </c>
      <c r="H1886" s="6">
        <f>'Input (4) &amp; Process (8)'!E88</f>
        <v>1161.5514675954194</v>
      </c>
      <c r="I1886" s="466">
        <f>'Input (4) &amp; Process (8)'!F88</f>
        <v>1812.2785463391474</v>
      </c>
    </row>
    <row r="1887" spans="1:9" ht="18.75" customHeight="1" x14ac:dyDescent="0.25">
      <c r="A1887" s="42"/>
      <c r="B1887" s="196">
        <f>'Input (4) &amp; Process (8)'!B89</f>
        <v>1</v>
      </c>
      <c r="C1887" s="466">
        <f>'Input (4) &amp; Process (8)'!H65</f>
        <v>2.023724767538662</v>
      </c>
      <c r="D1887" s="207" t="str">
        <f>'Input (4) &amp; Process (8)'!I65</f>
        <v>[ Perlu ]</v>
      </c>
      <c r="E1887" s="466">
        <f>'Input (4) &amp; Process (8)'!J65</f>
        <v>15.343810911809669</v>
      </c>
      <c r="F1887" s="451">
        <f>'Input (4) &amp; Process (8)'!C89</f>
        <v>12188.522111622618</v>
      </c>
      <c r="G1887" s="207">
        <f>'Input (4) &amp; Process (8)'!D89</f>
        <v>200</v>
      </c>
      <c r="H1887" s="6">
        <f>'Input (4) &amp; Process (8)'!E89</f>
        <v>1241.1688794104439</v>
      </c>
      <c r="I1887" s="466">
        <f>'Input (4) &amp; Process (8)'!F89</f>
        <v>2534.6534951653011</v>
      </c>
    </row>
    <row r="1888" spans="1:9" ht="18.75" customHeight="1" x14ac:dyDescent="0.25">
      <c r="A1888" s="42"/>
      <c r="B1888" s="196">
        <f>'Input (4) &amp; Process (8)'!B90</f>
        <v>2</v>
      </c>
      <c r="C1888" s="466">
        <f>'Input (4) &amp; Process (8)'!H66</f>
        <v>1.8779110468957074</v>
      </c>
      <c r="D1888" s="207" t="str">
        <f>'Input (4) &amp; Process (8)'!I66</f>
        <v>[ Perlu ]</v>
      </c>
      <c r="E1888" s="466">
        <f>'Input (4) &amp; Process (8)'!J66</f>
        <v>0</v>
      </c>
      <c r="F1888" s="451" t="str">
        <f>'Input (4) &amp; Process (8)'!C90</f>
        <v>-</v>
      </c>
      <c r="G1888" s="207">
        <f>'Input (4) &amp; Process (8)'!D90</f>
        <v>200</v>
      </c>
      <c r="H1888" s="6">
        <f>'Input (4) &amp; Process (8)'!E90</f>
        <v>1316.7033470298259</v>
      </c>
      <c r="I1888" s="466">
        <f>'Input (4) &amp; Process (8)'!F90</f>
        <v>2637.258675834878</v>
      </c>
    </row>
    <row r="1889" spans="1:9" ht="18.75" customHeight="1" x14ac:dyDescent="0.25">
      <c r="A1889" s="42"/>
      <c r="B1889" s="196">
        <f>'Input (4) &amp; Process (8)'!B91</f>
        <v>3</v>
      </c>
      <c r="C1889" s="466">
        <f>'Input (4) &amp; Process (8)'!H67</f>
        <v>1.7409195530660648</v>
      </c>
      <c r="D1889" s="207" t="str">
        <f>'Input (4) &amp; Process (8)'!I67</f>
        <v>[ Perlu ]</v>
      </c>
      <c r="E1889" s="466">
        <f>'Input (4) &amp; Process (8)'!J67</f>
        <v>0</v>
      </c>
      <c r="F1889" s="451" t="str">
        <f>'Input (4) &amp; Process (8)'!C91</f>
        <v>-</v>
      </c>
      <c r="G1889" s="207">
        <f>'Input (4) &amp; Process (8)'!D91</f>
        <v>200</v>
      </c>
      <c r="H1889" s="6">
        <f>'Input (4) &amp; Process (8)'!E91</f>
        <v>1388.1548704535655</v>
      </c>
      <c r="I1889" s="466">
        <f>'Input (4) &amp; Process (8)'!F91</f>
        <v>2733.4864353393714</v>
      </c>
    </row>
    <row r="1890" spans="1:9" ht="18.75" customHeight="1" x14ac:dyDescent="0.25">
      <c r="A1890" s="42"/>
      <c r="B1890" s="196">
        <f>'Input (4) &amp; Process (8)'!B92</f>
        <v>4</v>
      </c>
      <c r="C1890" s="466">
        <f>'Input (4) &amp; Process (8)'!H68</f>
        <v>1.6115812598606087</v>
      </c>
      <c r="D1890" s="207" t="str">
        <f>'Input (4) &amp; Process (8)'!I68</f>
        <v>[ Perlu ]</v>
      </c>
      <c r="E1890" s="466">
        <f>'Input (4) &amp; Process (8)'!J68</f>
        <v>0</v>
      </c>
      <c r="F1890" s="451" t="str">
        <f>'Input (4) &amp; Process (8)'!C92</f>
        <v>-</v>
      </c>
      <c r="G1890" s="207">
        <f>'Input (4) &amp; Process (8)'!D92</f>
        <v>200</v>
      </c>
      <c r="H1890" s="6">
        <f>'Input (4) &amp; Process (8)'!E92</f>
        <v>1455.5234496816634</v>
      </c>
      <c r="I1890" s="466">
        <f>'Input (4) &amp; Process (8)'!F92</f>
        <v>2823.3369557309925</v>
      </c>
    </row>
    <row r="1891" spans="1:9" ht="18.75" customHeight="1" x14ac:dyDescent="0.25">
      <c r="A1891" s="42"/>
      <c r="B1891" s="196">
        <f>'Input (4) &amp; Process (8)'!B93</f>
        <v>5</v>
      </c>
      <c r="C1891" s="466">
        <f>'Input (4) &amp; Process (8)'!H69</f>
        <v>1.4888827180734869</v>
      </c>
      <c r="D1891" s="207" t="str">
        <f>'Input (4) &amp; Process (8)'!I69</f>
        <v>[ Perlu ]</v>
      </c>
      <c r="E1891" s="466">
        <f>'Input (4) &amp; Process (8)'!J69</f>
        <v>0</v>
      </c>
      <c r="F1891" s="451" t="str">
        <f>'Input (4) &amp; Process (8)'!C93</f>
        <v>-</v>
      </c>
      <c r="G1891" s="207">
        <f>'Input (4) &amp; Process (8)'!D93</f>
        <v>200</v>
      </c>
      <c r="H1891" s="6">
        <f>'Input (4) &amp; Process (8)'!E93</f>
        <v>1518.8090847141189</v>
      </c>
      <c r="I1891" s="466">
        <f>'Input (4) &amp; Process (8)'!F93</f>
        <v>2906.8104194827856</v>
      </c>
    </row>
    <row r="1892" spans="1:9" ht="18.75" customHeight="1" x14ac:dyDescent="0.25">
      <c r="A1892" s="42"/>
      <c r="B1892" s="196">
        <f>'Input (4) &amp; Process (8)'!B94</f>
        <v>6</v>
      </c>
      <c r="C1892" s="466">
        <f>'Input (4) &amp; Process (8)'!H70</f>
        <v>1.3719370690794677</v>
      </c>
      <c r="D1892" s="207" t="str">
        <f>'Input (4) &amp; Process (8)'!I70</f>
        <v>[ Perlu ]</v>
      </c>
      <c r="E1892" s="466">
        <f>'Input (4) &amp; Process (8)'!J70</f>
        <v>0</v>
      </c>
      <c r="F1892" s="451" t="str">
        <f>'Input (4) &amp; Process (8)'!C94</f>
        <v>-</v>
      </c>
      <c r="G1892" s="207">
        <f>'Input (4) &amp; Process (8)'!D94</f>
        <v>200</v>
      </c>
      <c r="H1892" s="6">
        <f>'Input (4) &amp; Process (8)'!E94</f>
        <v>1578.0117755509316</v>
      </c>
      <c r="I1892" s="466">
        <f>'Input (4) &amp; Process (8)'!F94</f>
        <v>2983.9070094779795</v>
      </c>
    </row>
    <row r="1893" spans="1:9" ht="18.75" customHeight="1" x14ac:dyDescent="0.25">
      <c r="A1893" s="42"/>
      <c r="B1893" s="196">
        <f>'Input (4) &amp; Process (8)'!B95</f>
        <v>7</v>
      </c>
      <c r="C1893" s="466">
        <f>'Input (4) &amp; Process (8)'!H71</f>
        <v>1.2599607356842539</v>
      </c>
      <c r="D1893" s="207" t="str">
        <f>'Input (4) &amp; Process (8)'!I71</f>
        <v>[ Perlu ]</v>
      </c>
      <c r="E1893" s="466">
        <f>'Input (4) &amp; Process (8)'!J71</f>
        <v>0</v>
      </c>
      <c r="F1893" s="451" t="str">
        <f>'Input (4) &amp; Process (8)'!C95</f>
        <v>-</v>
      </c>
      <c r="G1893" s="207">
        <f>'Input (4) &amp; Process (8)'!D95</f>
        <v>200</v>
      </c>
      <c r="H1893" s="6">
        <f>'Input (4) &amp; Process (8)'!E95</f>
        <v>1633.1315221921025</v>
      </c>
      <c r="I1893" s="466">
        <f>'Input (4) &amp; Process (8)'!F95</f>
        <v>3054.626908999272</v>
      </c>
    </row>
    <row r="1894" spans="1:9" ht="18.75" customHeight="1" x14ac:dyDescent="0.25">
      <c r="A1894" s="42"/>
      <c r="B1894" s="196">
        <f>'Input (4) &amp; Process (8)'!B96</f>
        <v>8</v>
      </c>
      <c r="C1894" s="466">
        <f>'Input (4) &amp; Process (8)'!H72</f>
        <v>1.1522544479371954</v>
      </c>
      <c r="D1894" s="207" t="str">
        <f>'Input (4) &amp; Process (8)'!I72</f>
        <v>[ Perlu ]</v>
      </c>
      <c r="E1894" s="466">
        <f>'Input (4) &amp; Process (8)'!J72</f>
        <v>0</v>
      </c>
      <c r="F1894" s="451" t="str">
        <f>'Input (4) &amp; Process (8)'!C96</f>
        <v>-</v>
      </c>
      <c r="G1894" s="207">
        <f>'Input (4) &amp; Process (8)'!D96</f>
        <v>200</v>
      </c>
      <c r="H1894" s="6">
        <f>'Input (4) &amp; Process (8)'!E96</f>
        <v>1684.168324637631</v>
      </c>
      <c r="I1894" s="466">
        <f>'Input (4) &amp; Process (8)'!F96</f>
        <v>3118.970301718055</v>
      </c>
    </row>
    <row r="1895" spans="1:9" ht="18.75" customHeight="1" x14ac:dyDescent="0.25">
      <c r="A1895" s="42"/>
      <c r="B1895" s="196">
        <f>'Input (4) &amp; Process (8)'!B97</f>
        <v>9</v>
      </c>
      <c r="C1895" s="466">
        <f>'Input (4) &amp; Process (8)'!H73</f>
        <v>1.0481875957663751</v>
      </c>
      <c r="D1895" s="207" t="str">
        <f>'Input (4) &amp; Process (8)'!I73</f>
        <v>[ Perlu ]</v>
      </c>
      <c r="E1895" s="466">
        <f>'Input (4) &amp; Process (8)'!J73</f>
        <v>0</v>
      </c>
      <c r="F1895" s="451" t="str">
        <f>'Input (4) &amp; Process (8)'!C97</f>
        <v>-</v>
      </c>
      <c r="G1895" s="207">
        <f>'Input (4) &amp; Process (8)'!D97</f>
        <v>200</v>
      </c>
      <c r="H1895" s="6">
        <f>'Input (4) &amp; Process (8)'!E97</f>
        <v>1731.1221828875171</v>
      </c>
      <c r="I1895" s="466">
        <f>'Input (4) &amp; Process (8)'!F97</f>
        <v>3176.937371683593</v>
      </c>
    </row>
    <row r="1896" spans="1:9" ht="18.75" customHeight="1" x14ac:dyDescent="0.25">
      <c r="A1896" s="42"/>
      <c r="B1896" s="196">
        <f>'Input (4) &amp; Process (8)'!B98</f>
        <v>10</v>
      </c>
      <c r="C1896" s="466">
        <f>'Input (4) &amp; Process (8)'!H74</f>
        <v>0.94718514017357747</v>
      </c>
      <c r="D1896" s="207" t="str">
        <f>'Input (4) &amp; Process (8)'!I74</f>
        <v>[ Tidak ]</v>
      </c>
      <c r="E1896" s="466">
        <f>'Input (4) &amp; Process (8)'!J74</f>
        <v>0</v>
      </c>
      <c r="F1896" s="451" t="str">
        <f>'Input (4) &amp; Process (8)'!C98</f>
        <v>-</v>
      </c>
      <c r="G1896" s="207">
        <f>'Input (4) &amp; Process (8)'!D98</f>
        <v>200</v>
      </c>
      <c r="H1896" s="6">
        <f>'Input (4) &amp; Process (8)'!E98</f>
        <v>1773.9930969417615</v>
      </c>
      <c r="I1896" s="466">
        <f>'Input (4) &amp; Process (8)'!F98</f>
        <v>3228.5283033121436</v>
      </c>
    </row>
    <row r="1897" spans="1:9" ht="18.75" customHeight="1" x14ac:dyDescent="0.25">
      <c r="A1897" s="42"/>
      <c r="B1897" s="196">
        <f>'Input (4) &amp; Process (8)'!B99</f>
        <v>11</v>
      </c>
      <c r="C1897" s="466">
        <f>'Input (4) &amp; Process (8)'!H75</f>
        <v>0.84871648809900613</v>
      </c>
      <c r="D1897" s="207" t="str">
        <f>'Input (4) &amp; Process (8)'!I75</f>
        <v>[ Tidak ]</v>
      </c>
      <c r="E1897" s="466">
        <f>'Input (4) &amp; Process (8)'!J75</f>
        <v>0</v>
      </c>
      <c r="F1897" s="451" t="str">
        <f>'Input (4) &amp; Process (8)'!C99</f>
        <v>-</v>
      </c>
      <c r="G1897" s="207">
        <f>'Input (4) &amp; Process (8)'!D99</f>
        <v>200</v>
      </c>
      <c r="H1897" s="6">
        <f>'Input (4) &amp; Process (8)'!E99</f>
        <v>1812.7810668003631</v>
      </c>
      <c r="I1897" s="466">
        <f>'Input (4) &amp; Process (8)'!F99</f>
        <v>3273.7432813760224</v>
      </c>
    </row>
    <row r="1898" spans="1:9" ht="18.75" customHeight="1" x14ac:dyDescent="0.25">
      <c r="A1898" s="42"/>
      <c r="B1898" s="196">
        <f>'Input (4) &amp; Process (8)'!B100</f>
        <v>12</v>
      </c>
      <c r="C1898" s="466">
        <f>'Input (4) &amp; Process (8)'!H76</f>
        <v>0.75228586171739187</v>
      </c>
      <c r="D1898" s="207" t="str">
        <f>'Input (4) &amp; Process (8)'!I76</f>
        <v>[ Tidak ]</v>
      </c>
      <c r="E1898" s="466">
        <f>'Input (4) &amp; Process (8)'!J76</f>
        <v>0</v>
      </c>
      <c r="F1898" s="451" t="str">
        <f>'Input (4) &amp; Process (8)'!C100</f>
        <v>-</v>
      </c>
      <c r="G1898" s="207">
        <f>'Input (4) &amp; Process (8)'!D100</f>
        <v>200</v>
      </c>
      <c r="H1898" s="6">
        <f>'Input (4) &amp; Process (8)'!E100</f>
        <v>1847.4860924633228</v>
      </c>
      <c r="I1898" s="466">
        <f>'Input (4) &amp; Process (8)'!F100</f>
        <v>3312.58249099263</v>
      </c>
    </row>
    <row r="1899" spans="1:9" ht="18.75" customHeight="1" x14ac:dyDescent="0.25">
      <c r="A1899" s="42"/>
      <c r="B1899" s="196">
        <f>'Input (4) &amp; Process (8)'!B101</f>
        <v>13</v>
      </c>
      <c r="C1899" s="466">
        <f>'Input (4) &amp; Process (8)'!H77</f>
        <v>0.65742378366203535</v>
      </c>
      <c r="D1899" s="207" t="str">
        <f>'Input (4) &amp; Process (8)'!I77</f>
        <v>[ Tidak ]</v>
      </c>
      <c r="E1899" s="466">
        <f>'Input (4) &amp; Process (8)'!J77</f>
        <v>0</v>
      </c>
      <c r="F1899" s="451" t="str">
        <f>'Input (4) &amp; Process (8)'!C101</f>
        <v>-</v>
      </c>
      <c r="G1899" s="207">
        <f>'Input (4) &amp; Process (8)'!D101</f>
        <v>200</v>
      </c>
      <c r="H1899" s="6">
        <f>'Input (4) &amp; Process (8)'!E101</f>
        <v>1878.1081739306396</v>
      </c>
      <c r="I1899" s="466">
        <f>'Input (4) &amp; Process (8)'!F101</f>
        <v>3345.0461176134113</v>
      </c>
    </row>
    <row r="1900" spans="1:9" ht="18.75" customHeight="1" x14ac:dyDescent="0.25">
      <c r="A1900" s="42"/>
      <c r="B1900" s="196">
        <f>'Input (4) &amp; Process (8)'!B102</f>
        <v>14</v>
      </c>
      <c r="C1900" s="466">
        <f>'Input (4) &amp; Process (8)'!H78</f>
        <v>0.56367936423191878</v>
      </c>
      <c r="D1900" s="207" t="str">
        <f>'Input (4) &amp; Process (8)'!I78</f>
        <v>[ Tidak ]</v>
      </c>
      <c r="E1900" s="466">
        <f>'Input (4) &amp; Process (8)'!J78</f>
        <v>0</v>
      </c>
      <c r="F1900" s="451" t="str">
        <f>'Input (4) &amp; Process (8)'!C102</f>
        <v>-</v>
      </c>
      <c r="G1900" s="207">
        <f>'Input (4) &amp; Process (8)'!D102</f>
        <v>200</v>
      </c>
      <c r="H1900" s="6">
        <f>'Input (4) &amp; Process (8)'!E102</f>
        <v>1904.6473112023141</v>
      </c>
      <c r="I1900" s="466">
        <f>'Input (4) &amp; Process (8)'!F102</f>
        <v>3371.1343470127899</v>
      </c>
    </row>
    <row r="1901" spans="1:9" ht="18.75" customHeight="1" x14ac:dyDescent="0.25">
      <c r="A1901" s="42"/>
      <c r="B1901" s="196">
        <f>'Input (4) &amp; Process (8)'!B103</f>
        <v>15</v>
      </c>
      <c r="C1901" s="466">
        <f>'Input (4) &amp; Process (8)'!H79</f>
        <v>0.47061312092996227</v>
      </c>
      <c r="D1901" s="207" t="str">
        <f>'Input (4) &amp; Process (8)'!I79</f>
        <v>[ Tidak ]</v>
      </c>
      <c r="E1901" s="466">
        <f>'Input (4) &amp; Process (8)'!J79</f>
        <v>0</v>
      </c>
      <c r="F1901" s="451" t="str">
        <f>'Input (4) &amp; Process (8)'!C103</f>
        <v>-</v>
      </c>
      <c r="G1901" s="207">
        <f>'Input (4) &amp; Process (8)'!D103</f>
        <v>200</v>
      </c>
      <c r="H1901" s="6">
        <f>'Input (4) &amp; Process (8)'!E103</f>
        <v>1927.1035042783471</v>
      </c>
      <c r="I1901" s="466">
        <f>'Input (4) &amp; Process (8)'!F103</f>
        <v>3390.8473652770381</v>
      </c>
    </row>
    <row r="1902" spans="1:9" ht="18.75" customHeight="1" x14ac:dyDescent="0.25">
      <c r="A1902" s="42"/>
      <c r="B1902" s="196">
        <f>'Input (4) &amp; Process (8)'!B104</f>
        <v>16</v>
      </c>
      <c r="C1902" s="466">
        <f>'Input (4) &amp; Process (8)'!H80</f>
        <v>0.37779008857884688</v>
      </c>
      <c r="D1902" s="207" t="str">
        <f>'Input (4) &amp; Process (8)'!I80</f>
        <v>[ Tidak ]</v>
      </c>
      <c r="E1902" s="466">
        <f>'Input (4) &amp; Process (8)'!J80</f>
        <v>0</v>
      </c>
      <c r="F1902" s="451" t="str">
        <f>'Input (4) &amp; Process (8)'!C104</f>
        <v>-</v>
      </c>
      <c r="G1902" s="207">
        <f>'Input (4) &amp; Process (8)'!D104</f>
        <v>200</v>
      </c>
      <c r="H1902" s="6">
        <f>'Input (4) &amp; Process (8)'!E104</f>
        <v>1945.4767531587368</v>
      </c>
      <c r="I1902" s="466">
        <f>'Input (4) &amp; Process (8)'!F104</f>
        <v>3404.1853587931032</v>
      </c>
    </row>
    <row r="1903" spans="1:9" ht="18.75" customHeight="1" x14ac:dyDescent="0.25">
      <c r="A1903" s="42"/>
      <c r="B1903" s="196">
        <f>'Input (4) &amp; Process (8)'!B105</f>
        <v>17</v>
      </c>
      <c r="C1903" s="466">
        <f>'Input (4) &amp; Process (8)'!H81</f>
        <v>0.28477299208914525</v>
      </c>
      <c r="D1903" s="207" t="str">
        <f>'Input (4) &amp; Process (8)'!I81</f>
        <v>[ Tidak ]</v>
      </c>
      <c r="E1903" s="466">
        <f>'Input (4) &amp; Process (8)'!J81</f>
        <v>0</v>
      </c>
      <c r="F1903" s="451" t="str">
        <f>'Input (4) &amp; Process (8)'!C105</f>
        <v>-</v>
      </c>
      <c r="G1903" s="207">
        <f>'Input (4) &amp; Process (8)'!D105</f>
        <v>200</v>
      </c>
      <c r="H1903" s="6">
        <f>'Input (4) &amp; Process (8)'!E105</f>
        <v>1959.767057843485</v>
      </c>
      <c r="I1903" s="466">
        <f>'Input (4) &amp; Process (8)'!F105</f>
        <v>3411.1485142374127</v>
      </c>
    </row>
    <row r="1904" spans="1:9" ht="18.75" customHeight="1" x14ac:dyDescent="0.25">
      <c r="A1904" s="42"/>
      <c r="B1904" s="196">
        <f>'Input (4) &amp; Process (8)'!B106</f>
        <v>18</v>
      </c>
      <c r="C1904" s="466">
        <f>'Input (4) &amp; Process (8)'!H82</f>
        <v>0.19111525477379199</v>
      </c>
      <c r="D1904" s="207" t="str">
        <f>'Input (4) &amp; Process (8)'!I82</f>
        <v>[ Tidak ]</v>
      </c>
      <c r="E1904" s="466">
        <f>'Input (4) &amp; Process (8)'!J82</f>
        <v>0</v>
      </c>
      <c r="F1904" s="451" t="str">
        <f>'Input (4) &amp; Process (8)'!C106</f>
        <v>-</v>
      </c>
      <c r="G1904" s="207">
        <f>'Input (4) &amp; Process (8)'!D106</f>
        <v>200</v>
      </c>
      <c r="H1904" s="6">
        <f>'Input (4) &amp; Process (8)'!E106</f>
        <v>1969.9744183325904</v>
      </c>
      <c r="I1904" s="466">
        <f>'Input (4) &amp; Process (8)'!F106</f>
        <v>3411.7370185646078</v>
      </c>
    </row>
    <row r="1905" spans="1:9" ht="18.75" customHeight="1" x14ac:dyDescent="0.25">
      <c r="A1905" s="42"/>
      <c r="B1905" s="196">
        <f>'Input (4) &amp; Process (8)'!B107</f>
        <v>19</v>
      </c>
      <c r="C1905" s="466">
        <f>'Input (4) &amp; Process (8)'!H83</f>
        <v>9.6353602830541688E-2</v>
      </c>
      <c r="D1905" s="207" t="str">
        <f>'Input (4) &amp; Process (8)'!I83</f>
        <v>[ Tidak ]</v>
      </c>
      <c r="E1905" s="466">
        <f>'Input (4) &amp; Process (8)'!J83</f>
        <v>0</v>
      </c>
      <c r="F1905" s="451" t="str">
        <f>'Input (4) &amp; Process (8)'!C107</f>
        <v>-</v>
      </c>
      <c r="G1905" s="207">
        <f>'Input (4) &amp; Process (8)'!D107</f>
        <v>200</v>
      </c>
      <c r="H1905" s="6">
        <f>'Input (4) &amp; Process (8)'!E107</f>
        <v>1976.098834626054</v>
      </c>
      <c r="I1905" s="466">
        <f>'Input (4) &amp; Process (8)'!F107</f>
        <v>3405.9510589962592</v>
      </c>
    </row>
    <row r="1906" spans="1:9" ht="18.75" customHeight="1" x14ac:dyDescent="0.25">
      <c r="A1906" s="42"/>
      <c r="B1906" s="196">
        <f>'Input (4) &amp; Process (8)'!B108</f>
        <v>20</v>
      </c>
      <c r="C1906" s="466">
        <f>'Input (4) &amp; Process (8)'!H84</f>
        <v>5.7481605713296463E-3</v>
      </c>
      <c r="D1906" s="207" t="str">
        <f>'Input (4) &amp; Process (8)'!I84</f>
        <v>[ Tidak ]</v>
      </c>
      <c r="E1906" s="466">
        <f>'Input (4) &amp; Process (8)'!J84</f>
        <v>0</v>
      </c>
      <c r="F1906" s="451" t="str">
        <f>'Input (4) &amp; Process (8)'!C108</f>
        <v>-</v>
      </c>
      <c r="G1906" s="207">
        <f>'Input (4) &amp; Process (8)'!D108</f>
        <v>200</v>
      </c>
      <c r="H1906" s="6">
        <f>'Input (4) &amp; Process (8)'!E108</f>
        <v>1978.1403067238755</v>
      </c>
      <c r="I1906" s="466">
        <f>'Input (4) &amp; Process (8)'!F108</f>
        <v>3393.7908230095363</v>
      </c>
    </row>
    <row r="1907" spans="1:9" ht="18.75" customHeight="1" x14ac:dyDescent="0.25">
      <c r="A1907" s="42"/>
    </row>
    <row r="1908" spans="1:9" ht="18.75" customHeight="1" x14ac:dyDescent="0.25">
      <c r="A1908" s="42"/>
      <c r="B1908" s="471"/>
      <c r="C1908" s="471" t="s">
        <v>1213</v>
      </c>
      <c r="D1908" s="447" t="s">
        <v>1214</v>
      </c>
      <c r="E1908" s="640" t="s">
        <v>1215</v>
      </c>
      <c r="F1908" s="640"/>
    </row>
    <row r="1909" spans="1:9" ht="18.75" customHeight="1" x14ac:dyDescent="0.25">
      <c r="A1909" s="42"/>
      <c r="B1909" s="471"/>
      <c r="C1909" s="471" t="s">
        <v>40</v>
      </c>
      <c r="D1909" s="471" t="s">
        <v>40</v>
      </c>
      <c r="E1909" s="454" t="s">
        <v>1189</v>
      </c>
      <c r="F1909" s="454" t="s">
        <v>1190</v>
      </c>
    </row>
    <row r="1910" spans="1:9" ht="18.75" customHeight="1" x14ac:dyDescent="0.25">
      <c r="A1910" s="42"/>
      <c r="B1910" s="196">
        <f>B1886</f>
        <v>0</v>
      </c>
      <c r="C1910" s="466">
        <f>'Input (4) &amp; Process (8)'!G88</f>
        <v>2500</v>
      </c>
      <c r="D1910" s="466">
        <f>'Input (4) &amp; Process (8)'!H88</f>
        <v>1359.2089097543605</v>
      </c>
      <c r="E1910" s="466">
        <f>'Input (4) &amp; Process (8)'!I88</f>
        <v>1.3154242251652015</v>
      </c>
      <c r="F1910" s="207" t="str">
        <f>'Input (4) &amp; Process (8)'!J88</f>
        <v>[ OK ]</v>
      </c>
    </row>
    <row r="1911" spans="1:9" ht="18.75" customHeight="1" x14ac:dyDescent="0.25">
      <c r="A1911" s="42"/>
      <c r="B1911" s="196">
        <f t="shared" ref="B1911:B1930" si="3">B1887</f>
        <v>1</v>
      </c>
      <c r="C1911" s="466">
        <f>'Input (4) &amp; Process (8)'!G89</f>
        <v>3098.1540844281972</v>
      </c>
      <c r="D1911" s="466">
        <f>'Input (4) &amp; Process (8)'!H89</f>
        <v>1900.9901213739759</v>
      </c>
      <c r="E1911" s="466">
        <f>'Input (4) &amp; Process (8)'!I89</f>
        <v>1.9365819411644152</v>
      </c>
      <c r="F1911" s="207" t="str">
        <f>'Input (4) &amp; Process (8)'!J89</f>
        <v>[ OK ]</v>
      </c>
    </row>
    <row r="1912" spans="1:9" ht="18.75" customHeight="1" x14ac:dyDescent="0.25">
      <c r="A1912" s="42"/>
      <c r="B1912" s="196">
        <f t="shared" si="3"/>
        <v>2</v>
      </c>
      <c r="C1912" s="466">
        <f>'Input (4) &amp; Process (8)'!G90</f>
        <v>3082.9087014381748</v>
      </c>
      <c r="D1912" s="466">
        <f>'Input (4) &amp; Process (8)'!H90</f>
        <v>1977.9440068761585</v>
      </c>
      <c r="E1912" s="466">
        <f>'Input (4) &amp; Process (8)'!I90</f>
        <v>2.1269197627410383</v>
      </c>
      <c r="F1912" s="207" t="str">
        <f>'Input (4) &amp; Process (8)'!J90</f>
        <v>[ OK ]</v>
      </c>
    </row>
    <row r="1913" spans="1:9" ht="18.75" customHeight="1" x14ac:dyDescent="0.25">
      <c r="A1913" s="42"/>
      <c r="B1913" s="196">
        <f t="shared" si="3"/>
        <v>3</v>
      </c>
      <c r="C1913" s="466">
        <f>'Input (4) &amp; Process (8)'!G91</f>
        <v>3067.6561980214256</v>
      </c>
      <c r="D1913" s="466">
        <f>'Input (4) &amp; Process (8)'!H91</f>
        <v>2050.1148265045285</v>
      </c>
      <c r="E1913" s="466">
        <f>'Input (4) &amp; Process (8)'!I91</f>
        <v>2.3342044018494792</v>
      </c>
      <c r="F1913" s="207" t="str">
        <f>'Input (4) &amp; Process (8)'!J91</f>
        <v>[ OK ]</v>
      </c>
    </row>
    <row r="1914" spans="1:9" ht="18.75" customHeight="1" x14ac:dyDescent="0.25">
      <c r="A1914" s="42"/>
      <c r="B1914" s="196">
        <f t="shared" si="3"/>
        <v>4</v>
      </c>
      <c r="C1914" s="466">
        <f>'Input (4) &amp; Process (8)'!G92</f>
        <v>3052.39675623016</v>
      </c>
      <c r="D1914" s="466">
        <f>'Input (4) &amp; Process (8)'!H92</f>
        <v>2117.5027167982444</v>
      </c>
      <c r="E1914" s="466">
        <f>'Input (4) &amp; Process (8)'!I92</f>
        <v>2.5616135519529206</v>
      </c>
      <c r="F1914" s="207" t="str">
        <f>'Input (4) &amp; Process (8)'!J92</f>
        <v>[ OK ]</v>
      </c>
    </row>
    <row r="1915" spans="1:9" ht="18.75" customHeight="1" x14ac:dyDescent="0.25">
      <c r="A1915" s="42"/>
      <c r="B1915" s="196">
        <f t="shared" si="3"/>
        <v>5</v>
      </c>
      <c r="C1915" s="466">
        <f>'Input (4) &amp; Process (8)'!G93</f>
        <v>3037.1305585374234</v>
      </c>
      <c r="D1915" s="466">
        <f>'Input (4) &amp; Process (8)'!H93</f>
        <v>2180.107814612089</v>
      </c>
      <c r="E1915" s="466">
        <f>'Input (4) &amp; Process (8)'!I93</f>
        <v>2.8131722918453379</v>
      </c>
      <c r="F1915" s="207" t="str">
        <f>'Input (4) &amp; Process (8)'!J93</f>
        <v>[ OK ]</v>
      </c>
    </row>
    <row r="1916" spans="1:9" ht="18.75" customHeight="1" x14ac:dyDescent="0.25">
      <c r="A1916" s="42"/>
      <c r="B1916" s="196">
        <f t="shared" si="3"/>
        <v>6</v>
      </c>
      <c r="C1916" s="466">
        <f>'Input (4) &amp; Process (8)'!G94</f>
        <v>3021.857787826445</v>
      </c>
      <c r="D1916" s="466">
        <f>'Input (4) &amp; Process (8)'!H94</f>
        <v>2237.9302571084845</v>
      </c>
      <c r="E1916" s="466">
        <f>'Input (4) &amp; Process (8)'!I94</f>
        <v>3.0940557232585952</v>
      </c>
      <c r="F1916" s="207" t="str">
        <f>'Input (4) &amp; Process (8)'!J94</f>
        <v>[ OK ]</v>
      </c>
    </row>
    <row r="1917" spans="1:9" ht="18.75" customHeight="1" x14ac:dyDescent="0.25">
      <c r="A1917" s="42"/>
      <c r="B1917" s="196">
        <f t="shared" si="3"/>
        <v>7</v>
      </c>
      <c r="C1917" s="466">
        <f>'Input (4) &amp; Process (8)'!G95</f>
        <v>3006.5786273799213</v>
      </c>
      <c r="D1917" s="466">
        <f>'Input (4) &amp; Process (8)'!H95</f>
        <v>2254.9339705349412</v>
      </c>
      <c r="E1917" s="466">
        <f>'Input (4) &amp; Process (8)'!I95</f>
        <v>3.3573768815111427</v>
      </c>
      <c r="F1917" s="207" t="str">
        <f>'Input (4) &amp; Process (8)'!J95</f>
        <v>[ OK ]</v>
      </c>
    </row>
    <row r="1918" spans="1:9" ht="18.75" customHeight="1" x14ac:dyDescent="0.25">
      <c r="A1918" s="42"/>
      <c r="B1918" s="196">
        <f t="shared" si="3"/>
        <v>8</v>
      </c>
      <c r="C1918" s="466">
        <f>'Input (4) &amp; Process (8)'!G96</f>
        <v>2991.2932608692454</v>
      </c>
      <c r="D1918" s="466">
        <f>'Input (4) &amp; Process (8)'!H96</f>
        <v>2243.4699456519338</v>
      </c>
      <c r="E1918" s="466">
        <f>'Input (4) &amp; Process (8)'!I96</f>
        <v>3.6186670714142881</v>
      </c>
      <c r="F1918" s="207" t="str">
        <f>'Input (4) &amp; Process (8)'!J96</f>
        <v>[ OK ]</v>
      </c>
    </row>
    <row r="1919" spans="1:9" ht="18.75" customHeight="1" x14ac:dyDescent="0.25">
      <c r="A1919" s="42"/>
      <c r="B1919" s="196">
        <f t="shared" si="3"/>
        <v>9</v>
      </c>
      <c r="C1919" s="466">
        <f>'Input (4) &amp; Process (8)'!G97</f>
        <v>2976.001872343681</v>
      </c>
      <c r="D1919" s="466">
        <f>'Input (4) &amp; Process (8)'!H97</f>
        <v>2232.0014042577609</v>
      </c>
      <c r="E1919" s="466">
        <f>'Input (4) &amp; Process (8)'!I97</f>
        <v>3.9274566212649686</v>
      </c>
      <c r="F1919" s="207" t="str">
        <f>'Input (4) &amp; Process (8)'!J97</f>
        <v>[ OK ]</v>
      </c>
    </row>
    <row r="1920" spans="1:9" ht="18.75" customHeight="1" x14ac:dyDescent="0.25">
      <c r="A1920" s="42"/>
      <c r="B1920" s="196">
        <f t="shared" si="3"/>
        <v>10</v>
      </c>
      <c r="C1920" s="466">
        <f>'Input (4) &amp; Process (8)'!G98</f>
        <v>2960.7046462194853</v>
      </c>
      <c r="D1920" s="466">
        <f>'Input (4) &amp; Process (8)'!H98</f>
        <v>2220.5284846646141</v>
      </c>
      <c r="E1920" s="466">
        <f>'Input (4) &amp; Process (8)'!I98</f>
        <v>4.2979956067608294</v>
      </c>
      <c r="F1920" s="207" t="str">
        <f>'Input (4) &amp; Process (8)'!J98</f>
        <v>[ OK ]</v>
      </c>
    </row>
    <row r="1921" spans="1:10" ht="18.75" customHeight="1" x14ac:dyDescent="0.25">
      <c r="A1921" s="42"/>
      <c r="B1921" s="196">
        <f t="shared" si="3"/>
        <v>11</v>
      </c>
      <c r="C1921" s="466">
        <f>'Input (4) &amp; Process (8)'!G99</f>
        <v>2945.4017672689752</v>
      </c>
      <c r="D1921" s="466">
        <f>'Input (4) &amp; Process (8)'!H99</f>
        <v>2209.0513254517314</v>
      </c>
      <c r="E1921" s="466">
        <f>'Input (4) &amp; Process (8)'!I99</f>
        <v>4.7508674711505625</v>
      </c>
      <c r="F1921" s="207" t="str">
        <f>'Input (4) &amp; Process (8)'!J99</f>
        <v>[ OK ]</v>
      </c>
    </row>
    <row r="1922" spans="1:10" ht="18.75" customHeight="1" x14ac:dyDescent="0.25">
      <c r="A1922" s="42"/>
      <c r="B1922" s="196">
        <f t="shared" si="3"/>
        <v>12</v>
      </c>
      <c r="C1922" s="466">
        <f>'Input (4) &amp; Process (8)'!G100</f>
        <v>2930.0934206095499</v>
      </c>
      <c r="D1922" s="466">
        <f>'Input (4) &amp; Process (8)'!H100</f>
        <v>2197.5700654571624</v>
      </c>
      <c r="E1922" s="466">
        <f>'Input (4) &amp; Process (8)'!I100</f>
        <v>5.3169473799333939</v>
      </c>
      <c r="F1922" s="207" t="str">
        <f>'Input (4) &amp; Process (8)'!J100</f>
        <v>[ OK ]</v>
      </c>
    </row>
    <row r="1923" spans="1:10" ht="18.75" customHeight="1" x14ac:dyDescent="0.25">
      <c r="A1923" s="42"/>
      <c r="B1923" s="196">
        <f t="shared" si="3"/>
        <v>13</v>
      </c>
      <c r="C1923" s="466">
        <f>'Input (4) &amp; Process (8)'!G101</f>
        <v>2914.7797916926565</v>
      </c>
      <c r="D1923" s="466">
        <f>'Input (4) &amp; Process (8)'!H101</f>
        <v>2186.0848437694922</v>
      </c>
      <c r="E1923" s="466">
        <f>'Input (4) &amp; Process (8)'!I101</f>
        <v>6.0447534510151524</v>
      </c>
      <c r="F1923" s="207" t="str">
        <f>'Input (4) &amp; Process (8)'!J101</f>
        <v>[ OK ]</v>
      </c>
    </row>
    <row r="1924" spans="1:10" ht="18.75" customHeight="1" x14ac:dyDescent="0.25">
      <c r="A1924" s="42"/>
      <c r="B1924" s="196">
        <f t="shared" si="3"/>
        <v>14</v>
      </c>
      <c r="C1924" s="466">
        <f>'Input (4) &amp; Process (8)'!G102</f>
        <v>2899.4610662927166</v>
      </c>
      <c r="D1924" s="466">
        <f>'Input (4) &amp; Process (8)'!H102</f>
        <v>2174.5957997195374</v>
      </c>
      <c r="E1924" s="466">
        <f>'Input (4) &amp; Process (8)'!I102</f>
        <v>7.0151492150203101</v>
      </c>
      <c r="F1924" s="207" t="str">
        <f>'Input (4) &amp; Process (8)'!J102</f>
        <v>[ OK ]</v>
      </c>
    </row>
    <row r="1925" spans="1:10" ht="18.75" customHeight="1" x14ac:dyDescent="0.25">
      <c r="A1925" s="42"/>
      <c r="B1925" s="196">
        <f t="shared" si="3"/>
        <v>15</v>
      </c>
      <c r="C1925" s="466">
        <f>'Input (4) &amp; Process (8)'!G103</f>
        <v>2884.1374304960018</v>
      </c>
      <c r="D1925" s="466">
        <f>'Input (4) &amp; Process (8)'!H103</f>
        <v>2163.1030728720016</v>
      </c>
      <c r="E1925" s="466">
        <f>'Input (4) &amp; Process (8)'!I103</f>
        <v>8.3736890279783296</v>
      </c>
      <c r="F1925" s="207" t="str">
        <f>'Input (4) &amp; Process (8)'!J103</f>
        <v>[ OK ]</v>
      </c>
    </row>
    <row r="1926" spans="1:10" ht="18.75" customHeight="1" x14ac:dyDescent="0.25">
      <c r="A1926" s="42"/>
      <c r="B1926" s="196">
        <f t="shared" si="3"/>
        <v>16</v>
      </c>
      <c r="C1926" s="466">
        <f>'Input (4) &amp; Process (8)'!G104</f>
        <v>2868.8090706894627</v>
      </c>
      <c r="D1926" s="466">
        <f>'Input (4) &amp; Process (8)'!H104</f>
        <v>2151.6068030170973</v>
      </c>
      <c r="E1926" s="466">
        <f>'Input (4) &amp; Process (8)'!I104</f>
        <v>10.411481603039357</v>
      </c>
      <c r="F1926" s="207" t="str">
        <f>'Input (4) &amp; Process (8)'!J104</f>
        <v>[ OK ]</v>
      </c>
    </row>
    <row r="1927" spans="1:10" ht="18.75" customHeight="1" x14ac:dyDescent="0.25">
      <c r="A1927" s="42"/>
      <c r="B1927" s="196">
        <f t="shared" si="3"/>
        <v>17</v>
      </c>
      <c r="C1927" s="466">
        <f>'Input (4) &amp; Process (8)'!G105</f>
        <v>2853.4761735495235</v>
      </c>
      <c r="D1927" s="466">
        <f>'Input (4) &amp; Process (8)'!H105</f>
        <v>2140.1071301621428</v>
      </c>
      <c r="E1927" s="466">
        <f>'Input (4) &amp; Process (8)'!I105</f>
        <v>13.807780605621153</v>
      </c>
      <c r="F1927" s="207" t="str">
        <f>'Input (4) &amp; Process (8)'!J105</f>
        <v>[ OK ]</v>
      </c>
    </row>
    <row r="1928" spans="1:10" ht="18.75" customHeight="1" x14ac:dyDescent="0.25">
      <c r="A1928" s="42"/>
      <c r="B1928" s="196">
        <f t="shared" si="3"/>
        <v>18</v>
      </c>
      <c r="C1928" s="466">
        <f>'Input (4) &amp; Process (8)'!G106</f>
        <v>2838.138926030827</v>
      </c>
      <c r="D1928" s="466">
        <f>'Input (4) &amp; Process (8)'!H106</f>
        <v>2128.60419452312</v>
      </c>
      <c r="E1928" s="466">
        <f>'Input (4) &amp; Process (8)'!I106</f>
        <v>20.600347033996403</v>
      </c>
      <c r="F1928" s="207" t="str">
        <f>'Input (4) &amp; Process (8)'!J106</f>
        <v>[ OK ]</v>
      </c>
    </row>
    <row r="1929" spans="1:10" ht="18.75" customHeight="1" x14ac:dyDescent="0.25">
      <c r="A1929" s="42"/>
      <c r="B1929" s="196">
        <f t="shared" si="3"/>
        <v>19</v>
      </c>
      <c r="C1929" s="466">
        <f>'Input (4) &amp; Process (8)'!G107</f>
        <v>2822.7975153549432</v>
      </c>
      <c r="D1929" s="466">
        <f>'Input (4) &amp; Process (8)'!H107</f>
        <v>2117.0981365162074</v>
      </c>
      <c r="E1929" s="466">
        <f>'Input (4) &amp; Process (8)'!I107</f>
        <v>40.97798588340352</v>
      </c>
      <c r="F1929" s="207" t="str">
        <f>'Input (4) &amp; Process (8)'!J107</f>
        <v>[ OK ]</v>
      </c>
    </row>
    <row r="1930" spans="1:10" ht="18.75" customHeight="1" x14ac:dyDescent="0.25">
      <c r="A1930" s="42"/>
      <c r="B1930" s="196">
        <f t="shared" si="3"/>
        <v>20</v>
      </c>
      <c r="C1930" s="466">
        <f>'Input (4) &amp; Process (8)'!G108</f>
        <v>2807.4521289990416</v>
      </c>
      <c r="D1930" s="466">
        <f>'Input (4) &amp; Process (8)'!H108</f>
        <v>2105.5890967492815</v>
      </c>
      <c r="E1930" s="466">
        <f>'Input (4) &amp; Process (8)'!I108</f>
        <v>690.01322125430715</v>
      </c>
      <c r="F1930" s="207" t="str">
        <f>'Input (4) &amp; Process (8)'!J108</f>
        <v>[ OK ]</v>
      </c>
    </row>
    <row r="1931" spans="1:10" ht="18.75" customHeight="1" x14ac:dyDescent="0.25">
      <c r="A1931" s="42"/>
    </row>
    <row r="1932" spans="1:10" ht="18.75" customHeight="1" x14ac:dyDescent="0.25">
      <c r="A1932" s="42"/>
    </row>
    <row r="1933" spans="1:10" ht="18.75" customHeight="1" x14ac:dyDescent="0.25">
      <c r="A1933" s="132" t="s">
        <v>838</v>
      </c>
      <c r="B1933" s="87" t="s">
        <v>1245</v>
      </c>
      <c r="C1933" s="8"/>
      <c r="D1933" s="8"/>
      <c r="E1933" s="8"/>
      <c r="F1933" s="8"/>
      <c r="G1933" s="8"/>
      <c r="H1933" s="8"/>
      <c r="I1933" s="8"/>
      <c r="J1933" s="90"/>
    </row>
    <row r="1934" spans="1:10" s="444" customFormat="1" ht="18.75" customHeight="1" x14ac:dyDescent="0.25">
      <c r="A1934" s="563"/>
      <c r="B1934" s="657" t="s">
        <v>1275</v>
      </c>
      <c r="C1934" s="657"/>
      <c r="D1934" s="657"/>
      <c r="E1934" s="657"/>
      <c r="F1934" s="657"/>
      <c r="G1934" s="657"/>
      <c r="H1934" s="657"/>
      <c r="I1934" s="657"/>
      <c r="J1934" s="564"/>
    </row>
    <row r="1935" spans="1:10" ht="18.75" customHeight="1" x14ac:dyDescent="0.25">
      <c r="A1935" s="42"/>
    </row>
    <row r="1936" spans="1:10" ht="18.75" customHeight="1" x14ac:dyDescent="0.25">
      <c r="A1936" s="42"/>
    </row>
    <row r="1937" spans="1:1" ht="18.75" customHeight="1" x14ac:dyDescent="0.25">
      <c r="A1937" s="42"/>
    </row>
    <row r="1938" spans="1:1" ht="18.75" customHeight="1" x14ac:dyDescent="0.25">
      <c r="A1938" s="42"/>
    </row>
    <row r="1939" spans="1:1" ht="18.75" customHeight="1" x14ac:dyDescent="0.25">
      <c r="A1939" s="42"/>
    </row>
    <row r="1940" spans="1:1" ht="18.75" customHeight="1" x14ac:dyDescent="0.25">
      <c r="A1940" s="42"/>
    </row>
    <row r="1941" spans="1:1" ht="18.75" customHeight="1" x14ac:dyDescent="0.25">
      <c r="A1941" s="42"/>
    </row>
    <row r="1942" spans="1:1" ht="18.75" customHeight="1" x14ac:dyDescent="0.25">
      <c r="A1942" s="42"/>
    </row>
    <row r="1943" spans="1:1" ht="18.75" customHeight="1" x14ac:dyDescent="0.25">
      <c r="A1943" s="42"/>
    </row>
    <row r="1944" spans="1:1" ht="18.75" customHeight="1" x14ac:dyDescent="0.25">
      <c r="A1944" s="42"/>
    </row>
    <row r="1945" spans="1:1" ht="18.75" customHeight="1" x14ac:dyDescent="0.25">
      <c r="A1945" s="42"/>
    </row>
    <row r="1946" spans="1:1" ht="18.75" customHeight="1" x14ac:dyDescent="0.25">
      <c r="A1946" s="42"/>
    </row>
    <row r="1947" spans="1:1" ht="18.75" customHeight="1" x14ac:dyDescent="0.25">
      <c r="A1947" s="42"/>
    </row>
    <row r="1948" spans="1:1" ht="18.75" customHeight="1" x14ac:dyDescent="0.25">
      <c r="A1948" s="42"/>
    </row>
    <row r="1949" spans="1:1" ht="18.75" customHeight="1" x14ac:dyDescent="0.25">
      <c r="A1949" s="42"/>
    </row>
    <row r="1950" spans="1:1" ht="18.75" customHeight="1" x14ac:dyDescent="0.25">
      <c r="A1950" s="328"/>
    </row>
    <row r="1951" spans="1:1" ht="18.75" customHeight="1" x14ac:dyDescent="0.25">
      <c r="A1951" s="328"/>
    </row>
    <row r="1952" spans="1:1" ht="18.75" customHeight="1" x14ac:dyDescent="0.25">
      <c r="A1952" s="328"/>
    </row>
  </sheetData>
  <mergeCells count="165">
    <mergeCell ref="B1934:I1934"/>
    <mergeCell ref="A1:I1"/>
    <mergeCell ref="A3:C6"/>
    <mergeCell ref="F3:I3"/>
    <mergeCell ref="F4:I4"/>
    <mergeCell ref="F5:I5"/>
    <mergeCell ref="F6:I6"/>
    <mergeCell ref="B636:I637"/>
    <mergeCell ref="B688:I689"/>
    <mergeCell ref="F64:I64"/>
    <mergeCell ref="G84:H84"/>
    <mergeCell ref="B112:F112"/>
    <mergeCell ref="B113:F113"/>
    <mergeCell ref="B1516:D1516"/>
    <mergeCell ref="B1523:D1523"/>
    <mergeCell ref="F1126:F1127"/>
    <mergeCell ref="G1126:H1126"/>
    <mergeCell ref="H117:H118"/>
    <mergeCell ref="B123:C123"/>
    <mergeCell ref="E123:H123"/>
    <mergeCell ref="B738:I739"/>
    <mergeCell ref="B751:I752"/>
    <mergeCell ref="C1071:G1071"/>
    <mergeCell ref="C1086:G1086"/>
    <mergeCell ref="B638:B639"/>
    <mergeCell ref="B663:B664"/>
    <mergeCell ref="B690:B691"/>
    <mergeCell ref="B714:B715"/>
    <mergeCell ref="E777:E778"/>
    <mergeCell ref="G777:G778"/>
    <mergeCell ref="B114:F114"/>
    <mergeCell ref="B117:B118"/>
    <mergeCell ref="C117:C118"/>
    <mergeCell ref="D117:D118"/>
    <mergeCell ref="E117:E118"/>
    <mergeCell ref="F117:G117"/>
    <mergeCell ref="H825:H826"/>
    <mergeCell ref="C1073:E1073"/>
    <mergeCell ref="C1074:E1074"/>
    <mergeCell ref="C1075:E1075"/>
    <mergeCell ref="C1076:E1076"/>
    <mergeCell ref="C1047:D1047"/>
    <mergeCell ref="B1071:B1072"/>
    <mergeCell ref="B1086:B1087"/>
    <mergeCell ref="H1147:I1147"/>
    <mergeCell ref="B1147:B1148"/>
    <mergeCell ref="D1147:G1147"/>
    <mergeCell ref="B862:C862"/>
    <mergeCell ref="D862:D863"/>
    <mergeCell ref="E862:E863"/>
    <mergeCell ref="F862:F863"/>
    <mergeCell ref="G862:G863"/>
    <mergeCell ref="H862:H863"/>
    <mergeCell ref="B825:C825"/>
    <mergeCell ref="D825:D826"/>
    <mergeCell ref="E825:E826"/>
    <mergeCell ref="F825:F826"/>
    <mergeCell ref="G825:G826"/>
    <mergeCell ref="B1515:D1515"/>
    <mergeCell ref="E1515:H1515"/>
    <mergeCell ref="C1088:E1088"/>
    <mergeCell ref="C1089:E1089"/>
    <mergeCell ref="C1090:E1090"/>
    <mergeCell ref="C1091:E1091"/>
    <mergeCell ref="B1126:B1127"/>
    <mergeCell ref="C1126:C1127"/>
    <mergeCell ref="D1126:D1127"/>
    <mergeCell ref="B1234:I1235"/>
    <mergeCell ref="B1519:D1519"/>
    <mergeCell ref="E1516:F1516"/>
    <mergeCell ref="E1519:F1519"/>
    <mergeCell ref="E1517:F1517"/>
    <mergeCell ref="E1518:F1518"/>
    <mergeCell ref="E1520:F1520"/>
    <mergeCell ref="E1521:F1521"/>
    <mergeCell ref="E1523:H1523"/>
    <mergeCell ref="B1527:D1527"/>
    <mergeCell ref="B1524:D1524"/>
    <mergeCell ref="E1524:F1524"/>
    <mergeCell ref="E1525:F1525"/>
    <mergeCell ref="E1526:F1526"/>
    <mergeCell ref="E1535:F1535"/>
    <mergeCell ref="B1535:D1535"/>
    <mergeCell ref="E1531:H1531"/>
    <mergeCell ref="E1551:H1551"/>
    <mergeCell ref="E1527:F1527"/>
    <mergeCell ref="E1528:F1528"/>
    <mergeCell ref="E1529:F1529"/>
    <mergeCell ref="E1532:F1532"/>
    <mergeCell ref="E1533:F1533"/>
    <mergeCell ref="E1534:F1534"/>
    <mergeCell ref="B1531:D1531"/>
    <mergeCell ref="B1532:D1532"/>
    <mergeCell ref="B1551:D1551"/>
    <mergeCell ref="B1557:D1557"/>
    <mergeCell ref="E1552:F1552"/>
    <mergeCell ref="E1553:F1553"/>
    <mergeCell ref="E1554:F1554"/>
    <mergeCell ref="E1555:F1555"/>
    <mergeCell ref="E1556:F1556"/>
    <mergeCell ref="E1557:F1557"/>
    <mergeCell ref="E1536:F1536"/>
    <mergeCell ref="E1537:F1537"/>
    <mergeCell ref="B1552:D1552"/>
    <mergeCell ref="C1853:D1853"/>
    <mergeCell ref="E1853:F1853"/>
    <mergeCell ref="C1884:D1884"/>
    <mergeCell ref="F1884:G1884"/>
    <mergeCell ref="E1908:F1908"/>
    <mergeCell ref="E1558:F1558"/>
    <mergeCell ref="E1559:F1559"/>
    <mergeCell ref="E1560:F1560"/>
    <mergeCell ref="E1561:F1561"/>
    <mergeCell ref="F1741:H1741"/>
    <mergeCell ref="B1827:I1828"/>
    <mergeCell ref="E157:E158"/>
    <mergeCell ref="G157:G158"/>
    <mergeCell ref="G170:G171"/>
    <mergeCell ref="B184:B185"/>
    <mergeCell ref="E184:H184"/>
    <mergeCell ref="B342:D342"/>
    <mergeCell ref="E342:H342"/>
    <mergeCell ref="B343:D343"/>
    <mergeCell ref="E343:F343"/>
    <mergeCell ref="E344:F344"/>
    <mergeCell ref="E345:F345"/>
    <mergeCell ref="B346:D346"/>
    <mergeCell ref="E346:F346"/>
    <mergeCell ref="E347:F347"/>
    <mergeCell ref="E348:F348"/>
    <mergeCell ref="B350:D350"/>
    <mergeCell ref="E350:H350"/>
    <mergeCell ref="B351:D351"/>
    <mergeCell ref="E351:F351"/>
    <mergeCell ref="E352:F352"/>
    <mergeCell ref="E353:F353"/>
    <mergeCell ref="B354:D354"/>
    <mergeCell ref="E354:F354"/>
    <mergeCell ref="E355:F355"/>
    <mergeCell ref="E356:F356"/>
    <mergeCell ref="B358:D358"/>
    <mergeCell ref="E358:H358"/>
    <mergeCell ref="B359:D359"/>
    <mergeCell ref="E359:F359"/>
    <mergeCell ref="E360:F360"/>
    <mergeCell ref="E361:F361"/>
    <mergeCell ref="B362:D362"/>
    <mergeCell ref="E362:F362"/>
    <mergeCell ref="E363:F363"/>
    <mergeCell ref="E364:F364"/>
    <mergeCell ref="B367:D367"/>
    <mergeCell ref="E367:H367"/>
    <mergeCell ref="B368:D368"/>
    <mergeCell ref="E368:F368"/>
    <mergeCell ref="E377:F377"/>
    <mergeCell ref="G410:H410"/>
    <mergeCell ref="E369:F369"/>
    <mergeCell ref="E370:F370"/>
    <mergeCell ref="E371:F371"/>
    <mergeCell ref="E372:F372"/>
    <mergeCell ref="B373:D373"/>
    <mergeCell ref="E373:F373"/>
    <mergeCell ref="E374:F374"/>
    <mergeCell ref="E375:F375"/>
    <mergeCell ref="E376:F376"/>
  </mergeCells>
  <conditionalFormatting sqref="H949">
    <cfRule type="containsText" dxfId="35" priority="40" operator="containsText" text="[ OK ]">
      <formula>NOT(ISERROR(SEARCH("[ OK ]",H949)))</formula>
    </cfRule>
  </conditionalFormatting>
  <conditionalFormatting sqref="H949 H954">
    <cfRule type="containsText" dxfId="34" priority="39" operator="containsText" text="[ NOT OK ]">
      <formula>NOT(ISERROR(SEARCH("[ NOT OK ]",H949)))</formula>
    </cfRule>
  </conditionalFormatting>
  <conditionalFormatting sqref="H954">
    <cfRule type="containsText" dxfId="33" priority="38" operator="containsText" text="[ OK ]">
      <formula>NOT(ISERROR(SEARCH("[ OK ]",H954)))</formula>
    </cfRule>
  </conditionalFormatting>
  <conditionalFormatting sqref="H1024 H1057">
    <cfRule type="containsText" dxfId="32" priority="36" operator="containsText" text="[ NOT OK ]">
      <formula>NOT(ISERROR(SEARCH("[ NOT OK ]",H1024)))</formula>
    </cfRule>
    <cfRule type="containsText" dxfId="31" priority="37" operator="containsText" text="[ OK ]">
      <formula>NOT(ISERROR(SEARCH("[ OK ]",H1024)))</formula>
    </cfRule>
  </conditionalFormatting>
  <conditionalFormatting sqref="H1326 H1320">
    <cfRule type="containsText" dxfId="30" priority="34" operator="containsText" text="[ NOT OK ]">
      <formula>NOT(ISERROR(SEARCH("[ NOT OK ]",H1320)))</formula>
    </cfRule>
    <cfRule type="containsText" dxfId="29" priority="35" operator="containsText" text="[ OK ]">
      <formula>NOT(ISERROR(SEARCH("[ OK ]",H1320)))</formula>
    </cfRule>
  </conditionalFormatting>
  <conditionalFormatting sqref="H1520:H1521 H1528:H1529 H1536:H1537 H1558:H1561">
    <cfRule type="containsText" dxfId="28" priority="33" operator="containsText" text="[ OK ]">
      <formula>NOT(ISERROR(SEARCH("[ OK ]",H1520)))</formula>
    </cfRule>
  </conditionalFormatting>
  <conditionalFormatting sqref="H1520:H1521 H1528:H1529 H1536:H1537 H1558:H1561">
    <cfRule type="containsText" dxfId="27" priority="32" operator="containsText" text="[ NOT OK ]">
      <formula>NOT(ISERROR(SEARCH("[ NOT OK ]",H1520)))</formula>
    </cfRule>
  </conditionalFormatting>
  <conditionalFormatting sqref="H1517:H1518 H1525:H1526 H1533:H1534">
    <cfRule type="containsText" dxfId="26" priority="30" operator="containsText" text="[ NOT OK ]">
      <formula>NOT(ISERROR(SEARCH("[ NOT OK ]",H1517)))</formula>
    </cfRule>
    <cfRule type="containsText" dxfId="25" priority="31" operator="containsText" text="[ OK ]">
      <formula>NOT(ISERROR(SEARCH("[ OK ]",H1517)))</formula>
    </cfRule>
  </conditionalFormatting>
  <conditionalFormatting sqref="E1525:F1526 E1528:F1529 E1533:F1534 E1536:F1537 E1558:F1561 E1517:F1518 E1520:F1521">
    <cfRule type="cellIs" dxfId="24" priority="26" operator="greaterThanOrEqual">
      <formula>0</formula>
    </cfRule>
    <cfRule type="cellIs" dxfId="23" priority="27" operator="lessThan">
      <formula>0</formula>
    </cfRule>
  </conditionalFormatting>
  <conditionalFormatting sqref="H1685 H1680 H1676 H1629 H1612 H1598 H1582">
    <cfRule type="containsText" dxfId="22" priority="24" operator="containsText" text="[ NOT OK ]">
      <formula>NOT(ISERROR(SEARCH("[ NOT OK ]",H1582)))</formula>
    </cfRule>
    <cfRule type="containsText" dxfId="21" priority="25" operator="containsText" text="[ OK ]">
      <formula>NOT(ISERROR(SEARCH("[ OK ]",H1582)))</formula>
    </cfRule>
  </conditionalFormatting>
  <conditionalFormatting sqref="H1761:H1765">
    <cfRule type="containsText" dxfId="20" priority="21" operator="containsText" text="[ YA ]">
      <formula>NOT(ISERROR(SEARCH("[ YA ]",H1761)))</formula>
    </cfRule>
  </conditionalFormatting>
  <conditionalFormatting sqref="H1780 H1784 H1739">
    <cfRule type="containsText" dxfId="19" priority="22" operator="containsText" text="[ NOT OK ]">
      <formula>NOT(ISERROR(SEARCH("[ NOT OK ]",H1739)))</formula>
    </cfRule>
    <cfRule type="containsText" dxfId="18" priority="23" operator="containsText" text="[ OK ]">
      <formula>NOT(ISERROR(SEARCH("[ OK ]",H1739)))</formula>
    </cfRule>
  </conditionalFormatting>
  <conditionalFormatting sqref="D1856:D1875 F1910:F1930">
    <cfRule type="containsText" dxfId="17" priority="19" operator="containsText" text="[ NOT OK ]">
      <formula>NOT(ISERROR(SEARCH("[ NOT OK ]",D1856)))</formula>
    </cfRule>
    <cfRule type="containsText" dxfId="16" priority="20" operator="containsText" text="[ OK ]">
      <formula>NOT(ISERROR(SEARCH("[ OK ]",D1856)))</formula>
    </cfRule>
  </conditionalFormatting>
  <conditionalFormatting sqref="D1886:D1906">
    <cfRule type="containsText" dxfId="15" priority="17" operator="containsText" text="[ Tidak ]">
      <formula>NOT(ISERROR(SEARCH("[ Tidak ]",D1886)))</formula>
    </cfRule>
    <cfRule type="containsText" dxfId="14" priority="18" operator="containsText" text="[ Perlu ]">
      <formula>NOT(ISERROR(SEARCH("[ Perlu ]",D1886)))</formula>
    </cfRule>
  </conditionalFormatting>
  <conditionalFormatting sqref="D1910:D1930">
    <cfRule type="colorScale" priority="16">
      <colorScale>
        <cfvo type="min"/>
        <cfvo type="max"/>
        <color theme="7" tint="0.79998168889431442"/>
        <color theme="4" tint="0.59999389629810485"/>
      </colorScale>
    </cfRule>
  </conditionalFormatting>
  <conditionalFormatting sqref="H247 H243">
    <cfRule type="containsText" dxfId="13" priority="14" operator="containsText" text="[ NOT OK ]">
      <formula>NOT(ISERROR(SEARCH("[ NOT OK ]",H243)))</formula>
    </cfRule>
    <cfRule type="containsText" dxfId="12" priority="15" operator="containsText" text="[ OK ]">
      <formula>NOT(ISERROR(SEARCH("[ OK ]",H243)))</formula>
    </cfRule>
  </conditionalFormatting>
  <conditionalFormatting sqref="H347:H348 H355:H356 H363:H364 H374:H377">
    <cfRule type="containsText" dxfId="11" priority="13" operator="containsText" text="[ OK ]">
      <formula>NOT(ISERROR(SEARCH("[ OK ]",H347)))</formula>
    </cfRule>
  </conditionalFormatting>
  <conditionalFormatting sqref="H347:H348 H355:H356 H363:H364 H374:H377">
    <cfRule type="containsText" dxfId="10" priority="12" operator="containsText" text="[ NOT OK ]">
      <formula>NOT(ISERROR(SEARCH("[ NOT OK ]",H347)))</formula>
    </cfRule>
  </conditionalFormatting>
  <conditionalFormatting sqref="H344:H345 H352:H353 H360:H361">
    <cfRule type="containsText" dxfId="9" priority="10" operator="containsText" text="[ NOT OK ]">
      <formula>NOT(ISERROR(SEARCH("[ NOT OK ]",H344)))</formula>
    </cfRule>
    <cfRule type="containsText" dxfId="8" priority="11" operator="containsText" text="[ OK ]">
      <formula>NOT(ISERROR(SEARCH("[ OK ]",H344)))</formula>
    </cfRule>
  </conditionalFormatting>
  <conditionalFormatting sqref="E352:F353 E355:F356 E360:F361 E363:F364 E374:F377 E344:F345 E347:F348">
    <cfRule type="cellIs" dxfId="7" priority="8" operator="greaterThanOrEqual">
      <formula>0</formula>
    </cfRule>
    <cfRule type="cellIs" dxfId="6" priority="9" operator="lessThan">
      <formula>0</formula>
    </cfRule>
  </conditionalFormatting>
  <conditionalFormatting sqref="H402 H406">
    <cfRule type="containsText" dxfId="5" priority="6" operator="containsText" text="[ NOT OK ]">
      <formula>NOT(ISERROR(SEARCH("[ NOT OK ]",H402)))</formula>
    </cfRule>
    <cfRule type="containsText" dxfId="4" priority="7" operator="containsText" text="[ OK ]">
      <formula>NOT(ISERROR(SEARCH("[ OK ]",H402)))</formula>
    </cfRule>
  </conditionalFormatting>
  <conditionalFormatting sqref="H397 H392 H388">
    <cfRule type="containsText" dxfId="3" priority="4" operator="containsText" text="[ NOT OK ]">
      <formula>NOT(ISERROR(SEARCH("[ NOT OK ]",H388)))</formula>
    </cfRule>
    <cfRule type="containsText" dxfId="2" priority="5" operator="containsText" text="[ OK ]">
      <formula>NOT(ISERROR(SEARCH("[ OK ]",H388)))</formula>
    </cfRule>
  </conditionalFormatting>
  <conditionalFormatting sqref="H412:H432">
    <cfRule type="containsText" dxfId="1" priority="2" operator="containsText" text="[ NOT OK ]">
      <formula>NOT(ISERROR(SEARCH("[ NOT OK ]",H412)))</formula>
    </cfRule>
    <cfRule type="containsText" dxfId="0" priority="3" operator="containsText" text="[ OK ]">
      <formula>NOT(ISERROR(SEARCH("[ OK ]",H412)))</formula>
    </cfRule>
  </conditionalFormatting>
  <conditionalFormatting sqref="F412:F432">
    <cfRule type="colorScale" priority="1">
      <colorScale>
        <cfvo type="min"/>
        <cfvo type="max"/>
        <color theme="7" tint="0.79998168889431442"/>
        <color theme="4" tint="0.59999389629810485"/>
      </colorScale>
    </cfRule>
  </conditionalFormatting>
  <dataValidations disablePrompts="1" count="6">
    <dataValidation type="list" allowBlank="1" showInputMessage="1" showErrorMessage="1" sqref="F5:I6" xr:uid="{1F1992D4-5190-4617-9F75-15A76CAA3918}">
      <formula1>"Penulangan Daerah Lapangan, Penulangan Daerah Tumpuan"</formula1>
    </dataValidation>
    <dataValidation type="list" allowBlank="1" showInputMessage="1" showErrorMessage="1" sqref="H28" xr:uid="{62A88132-A147-4BE4-B762-CF2AB1B6E4EF}">
      <formula1>"3,5,7,9"</formula1>
    </dataValidation>
    <dataValidation type="list" allowBlank="1" showInputMessage="1" showErrorMessage="1" sqref="F64" xr:uid="{0BA84400-388B-4117-B911-933CBDC08061}">
      <formula1>"Dengan Lekatan (Bounded),Tanpa Lekatan (Unbounded)"</formula1>
    </dataValidation>
    <dataValidation type="list" allowBlank="1" showInputMessage="1" showErrorMessage="1" sqref="G84:H84" xr:uid="{056CB86B-4C81-47E7-A2AF-BBC4E20C1C70}">
      <formula1>"PC I H-125,PC I H-160,PC I H-170,PC I H-210,"</formula1>
    </dataValidation>
    <dataValidation type="list" allowBlank="1" showInputMessage="1" showErrorMessage="1" sqref="H85" xr:uid="{3E674B56-E7BD-4E62-B715-19B0E3FBF8CC}">
      <formula1>"2,3,4,"</formula1>
    </dataValidation>
    <dataValidation type="list" allowBlank="1" showInputMessage="1" showErrorMessage="1" sqref="C119" xr:uid="{A1FD9C7E-3D37-4C03-B48D-54576EEDD359}">
      <formula1>$P$92:$P$95</formula1>
    </dataValidation>
  </dataValidations>
  <hyperlinks>
    <hyperlink ref="F6" r:id="rId1" xr:uid="{B2D0F771-DB0E-4824-AA01-CC94A77D099E}"/>
  </hyperlinks>
  <pageMargins left="0.7" right="0.7" top="0.75" bottom="0.75" header="0.3" footer="0.3"/>
  <pageSetup orientation="portrait" r:id="rId2"/>
  <headerFooter>
    <oddHeader>&amp;L&amp;"-,Bold"&amp;K05-024Versi 1.1.0&amp;C&amp;"-,Bold"&amp;K05-024Page &amp;P&amp;R&amp;"-,Bold"&amp;K05-024Release Date : Nopember 2022</oddHeader>
    <oddFooter xml:space="preserve">&amp;L&amp;"-,Bold"&amp;K05-024Dapatkan program bantu spreadsheet ini hanya di https://www.inpetra.id/ </oddFooter>
  </headerFooter>
  <ignoredErrors>
    <ignoredError sqref="H1609:I1613" evalError="1"/>
    <ignoredError sqref="D95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9A92F-A8A6-43A6-BE1A-DDEA3CA9F428}">
  <sheetPr codeName="Sheet2">
    <tabColor theme="8" tint="0.79998168889431442"/>
  </sheetPr>
  <dimension ref="A1:X146"/>
  <sheetViews>
    <sheetView showGridLines="0" zoomScale="85" zoomScaleNormal="85" workbookViewId="0"/>
  </sheetViews>
  <sheetFormatPr defaultColWidth="9.140625" defaultRowHeight="18.75" customHeight="1" x14ac:dyDescent="0.25"/>
  <cols>
    <col min="1" max="1" width="6.7109375" style="63" customWidth="1"/>
    <col min="2" max="7" width="13.5703125" style="1" customWidth="1"/>
    <col min="8" max="8" width="15.7109375" style="1" customWidth="1"/>
    <col min="9" max="9" width="12.140625" style="28" customWidth="1"/>
    <col min="10" max="15" width="9.140625" style="1"/>
    <col min="16" max="16" width="10.28515625" style="1" customWidth="1"/>
    <col min="17" max="17" width="17.85546875" style="1" customWidth="1"/>
    <col min="18" max="23" width="10.7109375" style="1" customWidth="1"/>
    <col min="24" max="16384" width="9.140625" style="1"/>
  </cols>
  <sheetData>
    <row r="1" spans="1:10" ht="18.75" customHeight="1" x14ac:dyDescent="0.25">
      <c r="A1" s="214" t="s">
        <v>870</v>
      </c>
      <c r="B1" s="596" t="s">
        <v>871</v>
      </c>
      <c r="C1" s="596"/>
      <c r="D1" s="596"/>
      <c r="E1" s="596"/>
      <c r="F1" s="596"/>
      <c r="G1" s="213" t="s">
        <v>872</v>
      </c>
      <c r="H1" s="213" t="s">
        <v>873</v>
      </c>
      <c r="I1" s="215" t="s">
        <v>874</v>
      </c>
    </row>
    <row r="2" spans="1:10" ht="18.75" customHeight="1" x14ac:dyDescent="0.25">
      <c r="A2" s="239" t="s">
        <v>567</v>
      </c>
      <c r="B2" s="361" t="s">
        <v>568</v>
      </c>
      <c r="C2" s="42"/>
      <c r="D2" s="42"/>
      <c r="E2" s="42"/>
      <c r="F2" s="42"/>
      <c r="G2" s="30"/>
      <c r="H2" s="31"/>
      <c r="I2" s="244"/>
      <c r="J2" s="116"/>
    </row>
    <row r="3" spans="1:10" ht="18.75" customHeight="1" x14ac:dyDescent="0.25">
      <c r="A3" s="239"/>
      <c r="B3" s="41"/>
      <c r="C3" s="42"/>
      <c r="D3" s="42"/>
      <c r="E3" s="42"/>
      <c r="F3" s="42"/>
      <c r="G3" s="30"/>
      <c r="H3" s="31"/>
      <c r="I3" s="244"/>
      <c r="J3" s="116"/>
    </row>
    <row r="4" spans="1:10" ht="18.75" customHeight="1" x14ac:dyDescent="0.25">
      <c r="A4" s="239"/>
      <c r="B4" s="41"/>
      <c r="C4" s="42"/>
      <c r="D4" s="42"/>
      <c r="E4" s="42"/>
      <c r="F4" s="42"/>
      <c r="G4" s="30"/>
      <c r="H4" s="31"/>
      <c r="I4" s="244"/>
      <c r="J4" s="116"/>
    </row>
    <row r="5" spans="1:10" ht="18.75" customHeight="1" x14ac:dyDescent="0.25">
      <c r="A5" s="239"/>
      <c r="B5" s="41"/>
      <c r="C5" s="42"/>
      <c r="D5" s="42"/>
      <c r="E5" s="42"/>
      <c r="F5" s="42"/>
      <c r="G5" s="30"/>
      <c r="H5" s="31"/>
      <c r="I5" s="244"/>
      <c r="J5" s="116"/>
    </row>
    <row r="6" spans="1:10" ht="18.75" customHeight="1" x14ac:dyDescent="0.25">
      <c r="A6" s="239"/>
      <c r="B6" s="41"/>
      <c r="C6" s="42"/>
      <c r="D6" s="42"/>
      <c r="E6" s="42"/>
      <c r="F6" s="42"/>
      <c r="G6" s="30"/>
      <c r="H6" s="31"/>
      <c r="I6" s="244"/>
      <c r="J6" s="116"/>
    </row>
    <row r="7" spans="1:10" ht="18.75" customHeight="1" x14ac:dyDescent="0.25">
      <c r="A7" s="239"/>
      <c r="B7" s="41"/>
      <c r="C7" s="42"/>
      <c r="D7" s="42"/>
      <c r="E7" s="42"/>
      <c r="F7" s="42"/>
      <c r="G7" s="30"/>
      <c r="H7" s="31"/>
      <c r="I7" s="244"/>
      <c r="J7" s="116"/>
    </row>
    <row r="8" spans="1:10" ht="18.75" customHeight="1" x14ac:dyDescent="0.25">
      <c r="A8" s="239"/>
      <c r="B8" s="41"/>
      <c r="C8" s="42"/>
      <c r="D8" s="42"/>
      <c r="E8" s="42"/>
      <c r="F8" s="42"/>
      <c r="G8" s="30"/>
      <c r="H8" s="31"/>
      <c r="I8" s="244"/>
      <c r="J8" s="116"/>
    </row>
    <row r="9" spans="1:10" ht="18.75" customHeight="1" x14ac:dyDescent="0.25">
      <c r="A9" s="239"/>
      <c r="B9" s="41"/>
      <c r="C9" s="42"/>
      <c r="D9" s="42"/>
      <c r="E9" s="42"/>
      <c r="F9" s="42"/>
      <c r="G9" s="30"/>
      <c r="H9" s="31"/>
      <c r="I9" s="244"/>
      <c r="J9" s="116"/>
    </row>
    <row r="10" spans="1:10" ht="18.75" customHeight="1" x14ac:dyDescent="0.25">
      <c r="A10" s="239"/>
      <c r="B10" s="41"/>
      <c r="C10" s="42"/>
      <c r="D10" s="42"/>
      <c r="E10" s="42"/>
      <c r="F10" s="42"/>
      <c r="G10" s="30"/>
      <c r="H10" s="31"/>
      <c r="I10" s="244"/>
      <c r="J10" s="116"/>
    </row>
    <row r="11" spans="1:10" ht="18.75" customHeight="1" x14ac:dyDescent="0.25">
      <c r="A11" s="239"/>
      <c r="B11" s="41"/>
      <c r="C11" s="42"/>
      <c r="D11" s="42"/>
      <c r="E11" s="42"/>
      <c r="F11" s="42"/>
      <c r="G11" s="30"/>
      <c r="H11" s="31"/>
      <c r="I11" s="244"/>
      <c r="J11" s="116"/>
    </row>
    <row r="12" spans="1:10" ht="18.75" customHeight="1" x14ac:dyDescent="0.25">
      <c r="A12" s="239"/>
      <c r="B12" s="41"/>
      <c r="C12" s="42"/>
      <c r="D12" s="42"/>
      <c r="E12" s="42"/>
      <c r="F12" s="42"/>
      <c r="G12" s="30"/>
      <c r="H12" s="31"/>
      <c r="I12" s="244"/>
      <c r="J12" s="116"/>
    </row>
    <row r="13" spans="1:10" ht="18.75" customHeight="1" x14ac:dyDescent="0.25">
      <c r="A13" s="239"/>
      <c r="B13" s="41" t="s">
        <v>0</v>
      </c>
      <c r="C13" s="42"/>
      <c r="D13" s="42"/>
      <c r="E13" s="42"/>
      <c r="F13" s="42"/>
      <c r="G13" s="30" t="s">
        <v>1</v>
      </c>
      <c r="H13" s="216">
        <v>0.25</v>
      </c>
      <c r="I13" s="244" t="s">
        <v>2</v>
      </c>
      <c r="J13" s="116"/>
    </row>
    <row r="14" spans="1:10" ht="18.75" customHeight="1" x14ac:dyDescent="0.25">
      <c r="A14" s="239"/>
      <c r="B14" s="41" t="s">
        <v>3</v>
      </c>
      <c r="C14" s="42"/>
      <c r="D14" s="42"/>
      <c r="E14" s="42"/>
      <c r="F14" s="42"/>
      <c r="G14" s="30" t="s">
        <v>4</v>
      </c>
      <c r="H14" s="216">
        <v>50</v>
      </c>
      <c r="I14" s="244" t="s">
        <v>5</v>
      </c>
      <c r="J14" s="116"/>
    </row>
    <row r="15" spans="1:10" ht="18.75" customHeight="1" x14ac:dyDescent="0.25">
      <c r="A15" s="239"/>
      <c r="B15" s="41" t="s">
        <v>1172</v>
      </c>
      <c r="C15" s="42"/>
      <c r="D15" s="42"/>
      <c r="E15" s="42"/>
      <c r="F15" s="42"/>
      <c r="G15" s="30" t="s">
        <v>1173</v>
      </c>
      <c r="H15" s="216">
        <v>50</v>
      </c>
      <c r="I15" s="244" t="s">
        <v>5</v>
      </c>
      <c r="J15" s="116"/>
    </row>
    <row r="16" spans="1:10" ht="18.75" customHeight="1" x14ac:dyDescent="0.25">
      <c r="A16" s="239"/>
      <c r="B16" s="41" t="s">
        <v>6</v>
      </c>
      <c r="C16" s="42"/>
      <c r="D16" s="42"/>
      <c r="E16" s="42"/>
      <c r="F16" s="42"/>
      <c r="G16" s="30" t="s">
        <v>7</v>
      </c>
      <c r="H16" s="216">
        <v>0.1</v>
      </c>
      <c r="I16" s="244" t="s">
        <v>2</v>
      </c>
      <c r="J16" s="116"/>
    </row>
    <row r="17" spans="1:12" ht="18.75" customHeight="1" x14ac:dyDescent="0.25">
      <c r="A17" s="239"/>
      <c r="B17" s="41" t="s">
        <v>8</v>
      </c>
      <c r="C17" s="42"/>
      <c r="D17" s="42"/>
      <c r="E17" s="42"/>
      <c r="F17" s="42"/>
      <c r="G17" s="30" t="s">
        <v>9</v>
      </c>
      <c r="H17" s="216">
        <v>0.05</v>
      </c>
      <c r="I17" s="244" t="s">
        <v>2</v>
      </c>
      <c r="J17" s="116"/>
    </row>
    <row r="18" spans="1:12" ht="18.75" customHeight="1" x14ac:dyDescent="0.25">
      <c r="A18" s="239"/>
      <c r="B18" s="41" t="s">
        <v>883</v>
      </c>
      <c r="C18" s="42"/>
      <c r="D18" s="42"/>
      <c r="E18" s="42"/>
      <c r="F18" s="42"/>
      <c r="G18" s="30" t="s">
        <v>11</v>
      </c>
      <c r="H18" s="217">
        <v>1.85</v>
      </c>
      <c r="I18" s="244" t="s">
        <v>2</v>
      </c>
      <c r="J18" s="116"/>
    </row>
    <row r="19" spans="1:12" ht="18.75" customHeight="1" x14ac:dyDescent="0.25">
      <c r="A19" s="239"/>
      <c r="B19" s="41" t="s">
        <v>12</v>
      </c>
      <c r="C19" s="42"/>
      <c r="D19" s="42"/>
      <c r="E19" s="42"/>
      <c r="F19" s="42"/>
      <c r="G19" s="30" t="s">
        <v>13</v>
      </c>
      <c r="H19" s="216">
        <v>4</v>
      </c>
      <c r="I19" s="244" t="s">
        <v>2</v>
      </c>
      <c r="J19" s="116"/>
    </row>
    <row r="20" spans="1:12" ht="18.75" customHeight="1" x14ac:dyDescent="0.25">
      <c r="A20" s="239"/>
      <c r="B20" s="41" t="s">
        <v>14</v>
      </c>
      <c r="C20" s="42"/>
      <c r="D20" s="42"/>
      <c r="E20" s="42"/>
      <c r="F20" s="42"/>
      <c r="G20" s="30" t="s">
        <v>15</v>
      </c>
      <c r="H20" s="216">
        <v>1.5</v>
      </c>
      <c r="I20" s="244" t="s">
        <v>2</v>
      </c>
      <c r="J20" s="116"/>
    </row>
    <row r="21" spans="1:12" ht="18.75" customHeight="1" x14ac:dyDescent="0.25">
      <c r="A21" s="239"/>
      <c r="B21" s="41" t="s">
        <v>16</v>
      </c>
      <c r="C21" s="42"/>
      <c r="D21" s="42"/>
      <c r="E21" s="42"/>
      <c r="F21" s="42"/>
      <c r="G21" s="30" t="s">
        <v>17</v>
      </c>
      <c r="H21" s="216">
        <v>0</v>
      </c>
      <c r="I21" s="244" t="s">
        <v>2</v>
      </c>
      <c r="J21" s="116"/>
    </row>
    <row r="22" spans="1:12" ht="18.75" customHeight="1" x14ac:dyDescent="0.25">
      <c r="A22" s="239"/>
      <c r="B22" s="41" t="s">
        <v>752</v>
      </c>
      <c r="C22" s="42"/>
      <c r="D22" s="42"/>
      <c r="E22" s="42"/>
      <c r="F22" s="42"/>
      <c r="G22" s="30" t="s">
        <v>132</v>
      </c>
      <c r="H22" s="218">
        <v>9</v>
      </c>
      <c r="I22" s="244"/>
      <c r="J22" s="116"/>
    </row>
    <row r="23" spans="1:12" ht="18.75" customHeight="1" x14ac:dyDescent="0.25">
      <c r="A23" s="239"/>
      <c r="B23" s="41" t="s">
        <v>876</v>
      </c>
      <c r="C23" s="42"/>
      <c r="D23" s="42"/>
      <c r="E23" s="42"/>
      <c r="F23" s="42"/>
      <c r="G23" s="30" t="s">
        <v>877</v>
      </c>
      <c r="H23" s="216">
        <v>0.2</v>
      </c>
      <c r="I23" s="244" t="s">
        <v>2</v>
      </c>
      <c r="J23" s="116"/>
    </row>
    <row r="24" spans="1:12" ht="18.75" customHeight="1" x14ac:dyDescent="0.25">
      <c r="A24" s="239"/>
      <c r="B24" s="41" t="s">
        <v>20</v>
      </c>
      <c r="C24" s="42"/>
      <c r="D24" s="42"/>
      <c r="E24" s="42"/>
      <c r="F24" s="42"/>
      <c r="G24" s="30" t="s">
        <v>21</v>
      </c>
      <c r="H24" s="216">
        <v>40</v>
      </c>
      <c r="I24" s="244" t="s">
        <v>2</v>
      </c>
      <c r="J24" s="116"/>
      <c r="K24" s="183" t="str">
        <f>IF(H24&gt;50,"[!!!] MAKSIMUM 50 METER",IF(H24&lt;20,"[!!!] MINIMUM 20 METER",""))</f>
        <v/>
      </c>
    </row>
    <row r="25" spans="1:12" ht="18.75" customHeight="1" x14ac:dyDescent="0.25">
      <c r="A25" s="239"/>
      <c r="B25" s="41" t="s">
        <v>980</v>
      </c>
      <c r="C25" s="42"/>
      <c r="D25" s="42"/>
      <c r="E25" s="42"/>
      <c r="F25" s="42"/>
      <c r="G25" s="30" t="s">
        <v>23</v>
      </c>
      <c r="H25" s="219">
        <v>14</v>
      </c>
      <c r="I25" s="244" t="s">
        <v>2</v>
      </c>
      <c r="J25" s="116"/>
      <c r="L25" s="181"/>
    </row>
    <row r="26" spans="1:12" ht="18.75" customHeight="1" x14ac:dyDescent="0.25">
      <c r="A26" s="239"/>
      <c r="B26" s="41"/>
      <c r="C26" s="42"/>
      <c r="D26" s="42"/>
      <c r="E26" s="42"/>
      <c r="F26" s="42"/>
      <c r="G26" s="30"/>
      <c r="H26" s="31"/>
      <c r="I26" s="244"/>
      <c r="J26" s="116"/>
    </row>
    <row r="27" spans="1:12" ht="18.75" customHeight="1" x14ac:dyDescent="0.25">
      <c r="A27" s="239" t="s">
        <v>569</v>
      </c>
      <c r="B27" s="361" t="s">
        <v>570</v>
      </c>
      <c r="C27" s="42"/>
      <c r="D27" s="42"/>
      <c r="E27" s="42"/>
      <c r="F27" s="42"/>
      <c r="G27" s="30"/>
      <c r="H27" s="31"/>
      <c r="I27" s="244"/>
      <c r="J27" s="116"/>
    </row>
    <row r="28" spans="1:12" ht="18.75" customHeight="1" x14ac:dyDescent="0.25">
      <c r="A28" s="359"/>
      <c r="B28" s="361" t="s">
        <v>571</v>
      </c>
      <c r="C28" s="42"/>
      <c r="D28" s="42"/>
      <c r="E28" s="42"/>
      <c r="F28" s="42"/>
      <c r="G28" s="30"/>
      <c r="H28" s="31"/>
      <c r="I28" s="244"/>
      <c r="J28" s="116"/>
    </row>
    <row r="29" spans="1:12" ht="18.75" customHeight="1" x14ac:dyDescent="0.25">
      <c r="A29" s="239"/>
      <c r="B29" s="41" t="s">
        <v>27</v>
      </c>
      <c r="C29" s="42"/>
      <c r="D29" s="42"/>
      <c r="E29" s="42"/>
      <c r="F29" s="42"/>
      <c r="G29" s="336" t="s">
        <v>43</v>
      </c>
      <c r="H29" s="216">
        <v>50</v>
      </c>
      <c r="I29" s="244" t="s">
        <v>28</v>
      </c>
      <c r="J29" s="116"/>
    </row>
    <row r="30" spans="1:12" ht="18.75" customHeight="1" x14ac:dyDescent="0.25">
      <c r="A30" s="239"/>
      <c r="B30" s="41" t="s">
        <v>25</v>
      </c>
      <c r="C30" s="42"/>
      <c r="D30" s="42"/>
      <c r="E30" s="42"/>
      <c r="F30" s="42"/>
      <c r="G30" s="279" t="s">
        <v>410</v>
      </c>
      <c r="H30" s="220">
        <v>1.1E-5</v>
      </c>
      <c r="I30" s="244" t="s">
        <v>26</v>
      </c>
      <c r="J30" s="116"/>
    </row>
    <row r="31" spans="1:12" ht="18.75" customHeight="1" x14ac:dyDescent="0.25">
      <c r="A31" s="239"/>
      <c r="B31" s="41"/>
      <c r="C31" s="42"/>
      <c r="D31" s="42"/>
      <c r="E31" s="42"/>
      <c r="F31" s="42"/>
      <c r="G31" s="30"/>
      <c r="H31" s="31"/>
      <c r="I31" s="244"/>
      <c r="J31" s="116"/>
    </row>
    <row r="32" spans="1:12" s="8" customFormat="1" ht="18.75" customHeight="1" x14ac:dyDescent="0.25">
      <c r="A32" s="360"/>
      <c r="B32" s="361" t="s">
        <v>572</v>
      </c>
      <c r="C32" s="89"/>
      <c r="D32" s="89"/>
      <c r="E32" s="89"/>
      <c r="F32" s="89"/>
      <c r="G32" s="253"/>
      <c r="H32" s="128"/>
      <c r="I32" s="273"/>
      <c r="J32" s="88"/>
    </row>
    <row r="33" spans="1:11" s="8" customFormat="1" ht="18.75" customHeight="1" x14ac:dyDescent="0.25">
      <c r="A33" s="239"/>
      <c r="B33" s="41" t="s">
        <v>24</v>
      </c>
      <c r="C33" s="42"/>
      <c r="D33" s="42"/>
      <c r="E33" s="42"/>
      <c r="F33" s="335"/>
      <c r="G33" s="336" t="s">
        <v>43</v>
      </c>
      <c r="H33" s="216">
        <v>29</v>
      </c>
      <c r="I33" s="244" t="s">
        <v>28</v>
      </c>
      <c r="J33" s="116"/>
    </row>
    <row r="34" spans="1:11" s="8" customFormat="1" ht="18.75" customHeight="1" x14ac:dyDescent="0.25">
      <c r="A34" s="239"/>
      <c r="B34" s="41" t="s">
        <v>25</v>
      </c>
      <c r="C34" s="42"/>
      <c r="D34" s="42"/>
      <c r="E34" s="42"/>
      <c r="F34" s="335"/>
      <c r="G34" s="279" t="s">
        <v>410</v>
      </c>
      <c r="H34" s="220">
        <v>1.1E-5</v>
      </c>
      <c r="I34" s="244" t="s">
        <v>26</v>
      </c>
      <c r="J34" s="116"/>
    </row>
    <row r="35" spans="1:11" s="8" customFormat="1" ht="18.75" customHeight="1" x14ac:dyDescent="0.25">
      <c r="A35" s="239"/>
      <c r="B35" s="41"/>
      <c r="C35" s="42"/>
      <c r="D35" s="42"/>
      <c r="E35" s="42"/>
      <c r="F35" s="42"/>
      <c r="G35" s="30"/>
      <c r="H35" s="17"/>
      <c r="I35" s="244"/>
      <c r="J35" s="116"/>
    </row>
    <row r="36" spans="1:11" ht="18.75" customHeight="1" x14ac:dyDescent="0.25">
      <c r="A36" s="239" t="s">
        <v>573</v>
      </c>
      <c r="B36" s="362" t="s">
        <v>574</v>
      </c>
      <c r="C36" s="247"/>
      <c r="D36" s="247"/>
      <c r="E36" s="247"/>
      <c r="F36" s="247"/>
      <c r="G36" s="57"/>
      <c r="H36" s="115"/>
      <c r="I36" s="248"/>
      <c r="J36" s="116"/>
    </row>
    <row r="37" spans="1:11" ht="18.75" customHeight="1" x14ac:dyDescent="0.25">
      <c r="A37" s="239"/>
      <c r="B37" s="246" t="s">
        <v>29</v>
      </c>
      <c r="C37" s="247"/>
      <c r="D37" s="247"/>
      <c r="E37" s="247"/>
      <c r="F37" s="247"/>
      <c r="G37" s="336" t="s">
        <v>30</v>
      </c>
      <c r="H37" s="219">
        <v>13</v>
      </c>
      <c r="I37" s="248" t="s">
        <v>5</v>
      </c>
      <c r="J37" s="116"/>
    </row>
    <row r="38" spans="1:11" ht="18.75" customHeight="1" x14ac:dyDescent="0.25">
      <c r="A38" s="239"/>
      <c r="B38" s="246" t="s">
        <v>981</v>
      </c>
      <c r="C38" s="247"/>
      <c r="D38" s="247"/>
      <c r="E38" s="247"/>
      <c r="F38" s="247"/>
      <c r="G38" s="336" t="s">
        <v>30</v>
      </c>
      <c r="H38" s="219">
        <v>13</v>
      </c>
      <c r="I38" s="248" t="s">
        <v>5</v>
      </c>
      <c r="J38" s="116"/>
    </row>
    <row r="39" spans="1:11" ht="18.75" customHeight="1" x14ac:dyDescent="0.25">
      <c r="A39" s="239"/>
      <c r="B39" s="246" t="s">
        <v>533</v>
      </c>
      <c r="C39" s="247"/>
      <c r="D39" s="247"/>
      <c r="E39" s="247"/>
      <c r="F39" s="247"/>
      <c r="G39" s="336" t="s">
        <v>535</v>
      </c>
      <c r="H39" s="219">
        <v>400</v>
      </c>
      <c r="I39" s="248" t="s">
        <v>28</v>
      </c>
      <c r="J39" s="116"/>
    </row>
    <row r="40" spans="1:11" ht="18.75" customHeight="1" x14ac:dyDescent="0.25">
      <c r="A40" s="239"/>
      <c r="B40" s="246" t="s">
        <v>534</v>
      </c>
      <c r="C40" s="247"/>
      <c r="D40" s="247"/>
      <c r="E40" s="247"/>
      <c r="F40" s="247"/>
      <c r="G40" s="336" t="s">
        <v>535</v>
      </c>
      <c r="H40" s="219">
        <v>240</v>
      </c>
      <c r="I40" s="248" t="s">
        <v>28</v>
      </c>
      <c r="J40" s="116"/>
    </row>
    <row r="41" spans="1:11" ht="18.75" customHeight="1" x14ac:dyDescent="0.25">
      <c r="A41" s="239"/>
      <c r="B41" s="41"/>
      <c r="C41" s="42"/>
      <c r="D41" s="42"/>
      <c r="E41" s="42"/>
      <c r="F41" s="42"/>
      <c r="G41" s="30"/>
      <c r="H41" s="31"/>
      <c r="I41" s="244"/>
      <c r="J41" s="116"/>
    </row>
    <row r="42" spans="1:11" ht="18.75" customHeight="1" x14ac:dyDescent="0.25">
      <c r="A42" s="239" t="s">
        <v>575</v>
      </c>
      <c r="B42" s="361" t="s">
        <v>576</v>
      </c>
      <c r="C42" s="42"/>
      <c r="D42" s="42"/>
      <c r="E42" s="42"/>
      <c r="F42" s="42"/>
      <c r="G42" s="30"/>
      <c r="H42" s="31"/>
      <c r="I42" s="244"/>
      <c r="J42" s="116"/>
    </row>
    <row r="43" spans="1:11" ht="18.75" customHeight="1" x14ac:dyDescent="0.25">
      <c r="A43" s="239"/>
      <c r="B43" s="246" t="s">
        <v>793</v>
      </c>
      <c r="C43" s="247"/>
      <c r="D43" s="247"/>
      <c r="E43" s="247"/>
      <c r="F43" s="247"/>
      <c r="G43" s="57" t="s">
        <v>31</v>
      </c>
      <c r="H43" s="216">
        <v>24</v>
      </c>
      <c r="I43" s="248" t="s">
        <v>32</v>
      </c>
      <c r="J43" s="117"/>
      <c r="K43" s="59"/>
    </row>
    <row r="44" spans="1:11" ht="18.75" customHeight="1" x14ac:dyDescent="0.25">
      <c r="A44" s="239"/>
      <c r="B44" s="246" t="s">
        <v>679</v>
      </c>
      <c r="C44" s="247"/>
      <c r="D44" s="247"/>
      <c r="E44" s="247"/>
      <c r="F44" s="247"/>
      <c r="G44" s="57" t="s">
        <v>31</v>
      </c>
      <c r="H44" s="216">
        <v>24</v>
      </c>
      <c r="I44" s="248" t="s">
        <v>32</v>
      </c>
      <c r="J44" s="117"/>
      <c r="K44" s="59"/>
    </row>
    <row r="45" spans="1:11" ht="18.75" customHeight="1" x14ac:dyDescent="0.25">
      <c r="A45" s="239"/>
      <c r="B45" s="246" t="s">
        <v>680</v>
      </c>
      <c r="C45" s="247"/>
      <c r="D45" s="247"/>
      <c r="E45" s="247"/>
      <c r="F45" s="247"/>
      <c r="G45" s="57" t="s">
        <v>33</v>
      </c>
      <c r="H45" s="216">
        <f>2200*9.81/1000</f>
        <v>21.582000000000001</v>
      </c>
      <c r="I45" s="248" t="s">
        <v>32</v>
      </c>
      <c r="J45" s="117"/>
      <c r="K45" s="59"/>
    </row>
    <row r="46" spans="1:11" ht="18.75" customHeight="1" x14ac:dyDescent="0.25">
      <c r="A46" s="239"/>
      <c r="B46" s="246" t="s">
        <v>681</v>
      </c>
      <c r="C46" s="247"/>
      <c r="D46" s="247"/>
      <c r="E46" s="247"/>
      <c r="F46" s="247"/>
      <c r="G46" s="57" t="s">
        <v>35</v>
      </c>
      <c r="H46" s="216">
        <v>22</v>
      </c>
      <c r="I46" s="248" t="s">
        <v>32</v>
      </c>
      <c r="J46" s="117"/>
      <c r="K46" s="59"/>
    </row>
    <row r="47" spans="1:11" ht="18.75" customHeight="1" x14ac:dyDescent="0.25">
      <c r="A47" s="239"/>
      <c r="B47" s="246" t="s">
        <v>682</v>
      </c>
      <c r="C47" s="247"/>
      <c r="D47" s="247"/>
      <c r="E47" s="247"/>
      <c r="F47" s="247"/>
      <c r="G47" s="57" t="s">
        <v>37</v>
      </c>
      <c r="H47" s="216">
        <v>9.8000000000000007</v>
      </c>
      <c r="I47" s="248" t="s">
        <v>32</v>
      </c>
      <c r="J47" s="117"/>
      <c r="K47" s="59"/>
    </row>
    <row r="48" spans="1:11" ht="18.75" customHeight="1" x14ac:dyDescent="0.25">
      <c r="A48" s="239"/>
      <c r="B48" s="246" t="s">
        <v>683</v>
      </c>
      <c r="C48" s="247"/>
      <c r="D48" s="247"/>
      <c r="E48" s="247"/>
      <c r="F48" s="247"/>
      <c r="G48" s="57" t="s">
        <v>38</v>
      </c>
      <c r="H48" s="216">
        <v>78.5</v>
      </c>
      <c r="I48" s="248" t="s">
        <v>32</v>
      </c>
      <c r="J48" s="117"/>
      <c r="K48" s="59"/>
    </row>
    <row r="49" spans="1:11" ht="18.75" customHeight="1" x14ac:dyDescent="0.25">
      <c r="A49" s="239"/>
      <c r="B49" s="41"/>
      <c r="C49" s="42"/>
      <c r="D49" s="42"/>
      <c r="E49" s="42"/>
      <c r="F49" s="42"/>
      <c r="G49" s="42"/>
      <c r="H49" s="42"/>
      <c r="I49" s="244"/>
    </row>
    <row r="50" spans="1:11" ht="18.75" customHeight="1" x14ac:dyDescent="0.25">
      <c r="A50" s="239"/>
      <c r="B50" s="41"/>
      <c r="C50" s="42"/>
      <c r="D50" s="42"/>
      <c r="E50" s="42"/>
      <c r="F50" s="42"/>
      <c r="G50" s="42"/>
      <c r="H50" s="42"/>
      <c r="I50" s="244"/>
    </row>
    <row r="51" spans="1:11" ht="18.75" customHeight="1" x14ac:dyDescent="0.25">
      <c r="A51" s="239" t="s">
        <v>578</v>
      </c>
      <c r="B51" s="361" t="s">
        <v>579</v>
      </c>
      <c r="C51" s="42"/>
      <c r="D51" s="42"/>
      <c r="E51" s="42"/>
      <c r="F51" s="42"/>
      <c r="G51" s="42"/>
      <c r="H51" s="30"/>
      <c r="I51" s="244"/>
      <c r="J51" s="116"/>
      <c r="K51" s="116"/>
    </row>
    <row r="52" spans="1:11" ht="18.75" customHeight="1" x14ac:dyDescent="0.25">
      <c r="A52" s="239"/>
      <c r="B52" s="363" t="s">
        <v>67</v>
      </c>
      <c r="C52" s="335"/>
      <c r="D52" s="335"/>
      <c r="E52" s="335"/>
      <c r="F52" s="335"/>
      <c r="G52" s="335"/>
      <c r="H52" s="336"/>
      <c r="I52" s="337"/>
      <c r="J52" s="118"/>
      <c r="K52" s="118"/>
    </row>
    <row r="53" spans="1:11" ht="18.75" customHeight="1" x14ac:dyDescent="0.25">
      <c r="A53" s="239"/>
      <c r="B53" s="364" t="s">
        <v>68</v>
      </c>
      <c r="C53" s="335"/>
      <c r="D53" s="336" t="s">
        <v>70</v>
      </c>
      <c r="E53" s="221" t="s">
        <v>69</v>
      </c>
      <c r="F53" s="222"/>
      <c r="G53" s="222"/>
      <c r="H53" s="223"/>
      <c r="I53" s="313"/>
      <c r="J53" s="151"/>
      <c r="K53" s="151"/>
    </row>
    <row r="54" spans="1:11" ht="18.75" customHeight="1" x14ac:dyDescent="0.25">
      <c r="A54" s="239"/>
      <c r="B54" s="364" t="s">
        <v>586</v>
      </c>
      <c r="C54" s="335"/>
      <c r="D54" s="335"/>
      <c r="E54" s="335"/>
      <c r="F54" s="335"/>
      <c r="G54" s="336" t="s">
        <v>580</v>
      </c>
      <c r="H54" s="219">
        <v>1580</v>
      </c>
      <c r="I54" s="337" t="s">
        <v>28</v>
      </c>
      <c r="K54" s="118"/>
    </row>
    <row r="55" spans="1:11" ht="18.75" customHeight="1" x14ac:dyDescent="0.25">
      <c r="A55" s="239"/>
      <c r="B55" s="364" t="s">
        <v>587</v>
      </c>
      <c r="C55" s="335"/>
      <c r="D55" s="335"/>
      <c r="E55" s="335"/>
      <c r="F55" s="335"/>
      <c r="G55" s="336" t="s">
        <v>581</v>
      </c>
      <c r="H55" s="219">
        <v>1860</v>
      </c>
      <c r="I55" s="337" t="s">
        <v>28</v>
      </c>
      <c r="J55" s="462">
        <f>H54/H55</f>
        <v>0.84946236559139787</v>
      </c>
      <c r="K55" s="118"/>
    </row>
    <row r="56" spans="1:11" ht="18.75" customHeight="1" x14ac:dyDescent="0.25">
      <c r="A56" s="239"/>
      <c r="B56" s="364" t="s">
        <v>588</v>
      </c>
      <c r="C56" s="335"/>
      <c r="D56" s="335"/>
      <c r="E56" s="335"/>
      <c r="F56" s="335"/>
      <c r="G56" s="336"/>
      <c r="H56" s="219">
        <v>12.7</v>
      </c>
      <c r="I56" s="337" t="s">
        <v>5</v>
      </c>
      <c r="K56" s="118"/>
    </row>
    <row r="57" spans="1:11" ht="18.75" customHeight="1" x14ac:dyDescent="0.25">
      <c r="A57" s="239"/>
      <c r="B57" s="364" t="s">
        <v>263</v>
      </c>
      <c r="C57" s="335"/>
      <c r="D57" s="335"/>
      <c r="E57" s="335"/>
      <c r="F57" s="335"/>
      <c r="G57" s="336" t="s">
        <v>582</v>
      </c>
      <c r="H57" s="219">
        <v>98.7</v>
      </c>
      <c r="I57" s="337" t="s">
        <v>584</v>
      </c>
      <c r="K57" s="118"/>
    </row>
    <row r="58" spans="1:11" ht="18.75" customHeight="1" x14ac:dyDescent="0.25">
      <c r="A58" s="239"/>
      <c r="B58" s="364" t="s">
        <v>589</v>
      </c>
      <c r="C58" s="335"/>
      <c r="D58" s="335"/>
      <c r="E58" s="335"/>
      <c r="F58" s="335"/>
      <c r="G58" s="336" t="s">
        <v>556</v>
      </c>
      <c r="H58" s="219">
        <f>H55*H57/1000</f>
        <v>183.58199999999999</v>
      </c>
      <c r="I58" s="337" t="s">
        <v>40</v>
      </c>
      <c r="K58" s="118"/>
    </row>
    <row r="59" spans="1:11" ht="18.75" customHeight="1" x14ac:dyDescent="0.25">
      <c r="A59" s="239"/>
      <c r="B59" s="364" t="s">
        <v>590</v>
      </c>
      <c r="C59" s="335"/>
      <c r="D59" s="335"/>
      <c r="E59" s="335"/>
      <c r="F59" s="335"/>
      <c r="G59" s="336" t="s">
        <v>583</v>
      </c>
      <c r="H59" s="312">
        <v>193000</v>
      </c>
      <c r="I59" s="337" t="s">
        <v>28</v>
      </c>
      <c r="K59" s="118"/>
    </row>
    <row r="60" spans="1:11" ht="18.75" customHeight="1" x14ac:dyDescent="0.25">
      <c r="A60" s="239"/>
      <c r="B60" s="41" t="s">
        <v>949</v>
      </c>
      <c r="C60" s="42"/>
      <c r="D60" s="42"/>
      <c r="E60" s="42"/>
      <c r="F60" s="42"/>
      <c r="G60" s="606" t="s">
        <v>978</v>
      </c>
      <c r="H60" s="607"/>
      <c r="I60" s="244"/>
    </row>
    <row r="61" spans="1:11" ht="18.75" customHeight="1" x14ac:dyDescent="0.25">
      <c r="A61" s="239"/>
      <c r="B61" s="41"/>
      <c r="C61" s="42"/>
      <c r="D61" s="42"/>
      <c r="E61" s="42"/>
      <c r="F61" s="42"/>
      <c r="G61" s="42"/>
      <c r="H61" s="42"/>
      <c r="I61" s="244"/>
    </row>
    <row r="62" spans="1:11" ht="18.75" customHeight="1" x14ac:dyDescent="0.25">
      <c r="A62" s="239" t="s">
        <v>593</v>
      </c>
      <c r="B62" s="361" t="s">
        <v>592</v>
      </c>
      <c r="C62" s="42"/>
      <c r="D62" s="42"/>
      <c r="E62" s="42"/>
      <c r="F62" s="42"/>
      <c r="G62" s="42"/>
      <c r="H62" s="42"/>
      <c r="I62" s="244"/>
    </row>
    <row r="63" spans="1:11" ht="18.75" customHeight="1" x14ac:dyDescent="0.25">
      <c r="A63" s="239"/>
      <c r="B63" s="361"/>
      <c r="C63" s="42"/>
      <c r="D63" s="42"/>
      <c r="E63" s="42"/>
      <c r="F63" s="42"/>
      <c r="G63" s="42"/>
      <c r="H63" s="42"/>
      <c r="I63" s="244"/>
    </row>
    <row r="64" spans="1:11" ht="18.75" customHeight="1" x14ac:dyDescent="0.25">
      <c r="A64" s="239"/>
      <c r="B64" s="361"/>
      <c r="C64" s="42"/>
      <c r="D64" s="42"/>
      <c r="E64" s="42"/>
      <c r="F64" s="42"/>
      <c r="G64" s="42"/>
      <c r="H64" s="42"/>
      <c r="I64" s="244"/>
    </row>
    <row r="65" spans="1:22" ht="18.75" customHeight="1" x14ac:dyDescent="0.25">
      <c r="A65" s="239"/>
      <c r="B65" s="361"/>
      <c r="C65" s="42"/>
      <c r="D65" s="42"/>
      <c r="E65" s="42"/>
      <c r="F65" s="42"/>
      <c r="G65" s="42"/>
      <c r="H65" s="42"/>
      <c r="I65" s="244"/>
    </row>
    <row r="66" spans="1:22" ht="18.75" customHeight="1" x14ac:dyDescent="0.25">
      <c r="A66" s="239"/>
      <c r="B66" s="361"/>
      <c r="C66" s="42"/>
      <c r="D66" s="42"/>
      <c r="E66" s="42"/>
      <c r="F66" s="42"/>
      <c r="G66" s="42"/>
      <c r="H66" s="42"/>
      <c r="I66" s="244"/>
    </row>
    <row r="67" spans="1:22" ht="18.75" customHeight="1" x14ac:dyDescent="0.25">
      <c r="A67" s="239"/>
      <c r="B67" s="361"/>
      <c r="C67" s="42"/>
      <c r="D67" s="42"/>
      <c r="E67" s="42"/>
      <c r="F67" s="42"/>
      <c r="G67" s="42"/>
      <c r="H67" s="42"/>
      <c r="I67" s="244"/>
    </row>
    <row r="68" spans="1:22" ht="18.75" customHeight="1" x14ac:dyDescent="0.25">
      <c r="A68" s="239"/>
      <c r="B68" s="361"/>
      <c r="C68" s="42"/>
      <c r="D68" s="42"/>
      <c r="E68" s="42"/>
      <c r="F68" s="42"/>
      <c r="G68" s="42"/>
      <c r="H68" s="42"/>
      <c r="I68" s="244"/>
    </row>
    <row r="69" spans="1:22" ht="18.75" customHeight="1" x14ac:dyDescent="0.25">
      <c r="A69" s="239"/>
      <c r="B69" s="361"/>
      <c r="C69" s="42"/>
      <c r="D69" s="42"/>
      <c r="E69" s="42"/>
      <c r="F69" s="42"/>
      <c r="G69" s="42"/>
      <c r="H69" s="42"/>
      <c r="I69" s="244"/>
    </row>
    <row r="70" spans="1:22" ht="18.75" customHeight="1" x14ac:dyDescent="0.25">
      <c r="A70" s="239"/>
      <c r="B70" s="361"/>
      <c r="C70" s="42"/>
      <c r="D70" s="42"/>
      <c r="E70" s="42"/>
      <c r="F70" s="42"/>
      <c r="G70" s="42"/>
      <c r="H70" s="42"/>
      <c r="I70" s="244"/>
    </row>
    <row r="71" spans="1:22" ht="18.75" customHeight="1" x14ac:dyDescent="0.25">
      <c r="A71" s="239"/>
      <c r="B71" s="364" t="s">
        <v>585</v>
      </c>
      <c r="C71" s="42"/>
      <c r="D71" s="42"/>
      <c r="E71" s="42"/>
      <c r="F71" s="42"/>
      <c r="G71" s="599" t="s">
        <v>1013</v>
      </c>
      <c r="H71" s="600"/>
      <c r="I71" s="244"/>
      <c r="L71" s="180">
        <f>IF('Input (1)'!G71="PC I H-125",125,IF('Input (1)'!G71="PC I H-160",160,IF('Input (1)'!G71="PC I H-170",170,210)))</f>
        <v>210</v>
      </c>
      <c r="O71" s="63" t="s">
        <v>1242</v>
      </c>
      <c r="P71" s="87" t="s">
        <v>603</v>
      </c>
    </row>
    <row r="72" spans="1:22" ht="18.75" customHeight="1" x14ac:dyDescent="0.25">
      <c r="A72" s="239"/>
      <c r="B72" s="41" t="s">
        <v>591</v>
      </c>
      <c r="C72" s="42"/>
      <c r="D72" s="42"/>
      <c r="E72" s="42"/>
      <c r="F72" s="42"/>
      <c r="G72" s="30" t="s">
        <v>132</v>
      </c>
      <c r="H72" s="197">
        <v>4</v>
      </c>
      <c r="I72" s="244" t="s">
        <v>157</v>
      </c>
      <c r="P72" s="603" t="s">
        <v>604</v>
      </c>
      <c r="Q72" s="603" t="s">
        <v>605</v>
      </c>
      <c r="R72" s="597" t="s">
        <v>221</v>
      </c>
      <c r="S72" s="597" t="s">
        <v>620</v>
      </c>
      <c r="T72" s="601" t="s">
        <v>616</v>
      </c>
      <c r="U72" s="601"/>
      <c r="V72" s="597" t="s">
        <v>628</v>
      </c>
    </row>
    <row r="73" spans="1:22" ht="18.75" customHeight="1" x14ac:dyDescent="0.25">
      <c r="A73" s="239"/>
      <c r="B73" s="246" t="s">
        <v>192</v>
      </c>
      <c r="C73" s="247"/>
      <c r="D73" s="247"/>
      <c r="E73" s="247"/>
      <c r="F73" s="247"/>
      <c r="G73" s="57" t="s">
        <v>148</v>
      </c>
      <c r="H73" s="219">
        <v>0.2</v>
      </c>
      <c r="I73" s="248" t="s">
        <v>2</v>
      </c>
      <c r="P73" s="604"/>
      <c r="Q73" s="604"/>
      <c r="R73" s="598"/>
      <c r="S73" s="598"/>
      <c r="T73" s="201" t="s">
        <v>617</v>
      </c>
      <c r="U73" s="201" t="s">
        <v>618</v>
      </c>
      <c r="V73" s="598"/>
    </row>
    <row r="74" spans="1:22" ht="18.75" customHeight="1" x14ac:dyDescent="0.25">
      <c r="A74" s="239"/>
      <c r="B74" s="246" t="s">
        <v>594</v>
      </c>
      <c r="C74" s="42"/>
      <c r="D74" s="42"/>
      <c r="E74" s="42"/>
      <c r="F74" s="42"/>
      <c r="G74" s="57" t="s">
        <v>186</v>
      </c>
      <c r="H74" s="219">
        <v>0.16</v>
      </c>
      <c r="I74" s="244" t="s">
        <v>2</v>
      </c>
      <c r="P74" s="208">
        <v>1</v>
      </c>
      <c r="Q74" s="208" t="s">
        <v>608</v>
      </c>
      <c r="R74" s="208">
        <v>11</v>
      </c>
      <c r="S74" s="208">
        <f>IF(Q74=$P$86,4,IF(Q74=$P$87,7,IF(Q74=$P$88,12,IF(Q74=$P$89,19,"[ EROR ]"))))</f>
        <v>12</v>
      </c>
      <c r="T74" s="208">
        <f>IF(Q74=$P$86,$Q$86,IF(Q74=$P$87,$Q$87,IF(Q74=$P$88,$Q$88,IF(Q74=$P$89,$Q$89,"[ EROR ]"))))</f>
        <v>215</v>
      </c>
      <c r="U74" s="208">
        <f>IF(Q74=$P$109,$Q$109,IF(Q74=$P$110,$Q$110,IF(Q74=$P$111,$Q$111,IF(Q74=$P$112,$Q$112,"[ EROR ]"))))</f>
        <v>300</v>
      </c>
      <c r="V74" s="208">
        <f>IF(Q74=$P$86,$V$86,IF(Q74=$P$87,$V$87,IF(Q74=$P$88,$V$88,IF(Q74=$P$89,$V$89,"[ EROR ]"))))</f>
        <v>72</v>
      </c>
    </row>
    <row r="75" spans="1:22" ht="18.75" customHeight="1" x14ac:dyDescent="0.25">
      <c r="A75" s="239"/>
      <c r="B75" s="246" t="s">
        <v>595</v>
      </c>
      <c r="C75" s="42"/>
      <c r="D75" s="42"/>
      <c r="E75" s="42"/>
      <c r="F75" s="42"/>
      <c r="G75" s="57" t="s">
        <v>203</v>
      </c>
      <c r="H75" s="219">
        <v>0.45</v>
      </c>
      <c r="I75" s="244" t="s">
        <v>2</v>
      </c>
      <c r="P75" s="208">
        <v>2</v>
      </c>
      <c r="Q75" s="300" t="s">
        <v>609</v>
      </c>
      <c r="R75" s="208">
        <v>19</v>
      </c>
      <c r="S75" s="208">
        <f>IF(Q75=$P$86,4,IF(Q75=$P$87,7,IF(Q75=$P$88,12,IF(Q75=$P$89,19,"[ EROR ]"))))</f>
        <v>19</v>
      </c>
      <c r="T75" s="208">
        <f>IF(Q75=$P$86,$Q$86,IF(Q75=$P$87,$Q$87,IF(Q75=$P$88,$Q$88,IF(Q75=$P$89,$Q$89,"[ EROR ]"))))</f>
        <v>265</v>
      </c>
      <c r="U75" s="208">
        <f>IF(Q75=$P$109,$Q$109,IF(Q75=$P$110,$Q$110,IF(Q75=$P$111,$Q$111,IF(Q75=$P$112,$Q$112,"[ EROR ]"))))</f>
        <v>375</v>
      </c>
      <c r="V75" s="208">
        <f>IF(Q75=$P$86,$V$86,IF(Q75=$P$87,$V$87,IF(Q75=$P$88,$V$88,IF(Q75=$P$89,$V$89,"[ EROR ]"))))</f>
        <v>87</v>
      </c>
    </row>
    <row r="76" spans="1:22" ht="18.75" customHeight="1" x14ac:dyDescent="0.25">
      <c r="A76" s="239"/>
      <c r="B76" s="41"/>
      <c r="C76" s="42"/>
      <c r="D76" s="42"/>
      <c r="E76" s="42"/>
      <c r="F76" s="42"/>
      <c r="G76" s="42"/>
      <c r="H76" s="42"/>
      <c r="I76" s="244"/>
      <c r="P76" s="14">
        <f>IF(R76="","",3)</f>
        <v>3</v>
      </c>
      <c r="Q76" s="301" t="str">
        <f>IF('Input (1)'!H72&lt;3,"",Q75)</f>
        <v>5-19</v>
      </c>
      <c r="R76" s="14">
        <f>IF('Input (1)'!H72&lt;3,"",R75)</f>
        <v>19</v>
      </c>
      <c r="S76" s="14">
        <f>IF('Input (1)'!H72&lt;3,"",IF(Q76=$P$86,4,IF(Q76=$P$87,7,IF(Q76=$P$88,12,IF(Q76=$P$89,19,"[ EROR ]")))))</f>
        <v>19</v>
      </c>
      <c r="T76" s="14">
        <f>IF('Input (1)'!H72&lt;3,"",IF(Q76=$P$86,$Q$86,IF(Q76=$P$87,$Q$87,IF(Q76=$P$88,$Q$88,IF(Q76=$P$89,$Q$89,"[ EROR ]")))))</f>
        <v>265</v>
      </c>
      <c r="U76" s="14">
        <f>IF('Input (1)'!H72&lt;3,"",IF(Q76=$P$109,$Q$109,IF(Q76=$P$110,$Q$110,IF(Q76=$P$111,$Q$111,IF(Q76=$P$112,$Q$112,"[ EROR ]")))))</f>
        <v>375</v>
      </c>
      <c r="V76" s="14">
        <f>IF('Input (1)'!H72&lt;3,"",IF(Q76=$P$86,$V$86,IF(Q76=$P$87,$V$87,IF(Q76=$P$88,$V$88,IF(Q76=$P$89,$V$89,"[ EROR ]")))))</f>
        <v>87</v>
      </c>
    </row>
    <row r="77" spans="1:22" ht="18.75" customHeight="1" x14ac:dyDescent="0.25">
      <c r="A77" s="239"/>
      <c r="B77" s="41"/>
      <c r="C77" s="42"/>
      <c r="D77" s="42"/>
      <c r="E77" s="42"/>
      <c r="F77" s="42"/>
      <c r="G77" s="42"/>
      <c r="H77" s="42"/>
      <c r="I77" s="244"/>
      <c r="P77" s="14">
        <f>IF(R77="","",4)</f>
        <v>4</v>
      </c>
      <c r="Q77" s="302" t="str">
        <f>IF('Input (1)'!H72&lt;4,"",Q76)</f>
        <v>5-19</v>
      </c>
      <c r="R77" s="14">
        <f>IF('Input (1)'!H72&lt;4,"",R76)</f>
        <v>19</v>
      </c>
      <c r="S77" s="14">
        <f>IF('Input (1)'!H72&lt;4,"",IF(Q77=$P$86,4,IF(Q77=$P$87,7,IF(Q77=$P$88,12,IF(Q77=$P$89,19,"[ EROR ]")))))</f>
        <v>19</v>
      </c>
      <c r="T77" s="14">
        <f>IF('Input (1)'!H72&lt;4,"",IF(Q77=$P$86,$Q$86,IF(Q77=$P$87,$Q$87,IF(Q77=$P$88,$Q$88,IF(Q77=$P$89,$Q$89,"[ EROR ]")))))</f>
        <v>265</v>
      </c>
      <c r="U77" s="14">
        <f>IF('Input (1)'!H72&lt;4,"",IF(Q77=$P$109,$Q$109,IF(Q77=$P$110,$Q$110,IF(Q77=$P$111,$Q$111,IF(Q77=$P$112,$Q$112,"[ EROR ]")))))</f>
        <v>375</v>
      </c>
      <c r="V77" s="14">
        <f>IF('Input (1)'!H72&lt;4,"",IF(Q77=$P$86,$V$86,IF(Q77=$P$87,$V$87,IF(Q77=$P$88,$V$88,IF(Q77=$P$89,$V$89,"[ EROR ]")))))</f>
        <v>87</v>
      </c>
    </row>
    <row r="78" spans="1:22" ht="18.75" customHeight="1" x14ac:dyDescent="0.25">
      <c r="A78" s="239" t="s">
        <v>822</v>
      </c>
      <c r="B78" s="361" t="s">
        <v>823</v>
      </c>
      <c r="C78" s="42"/>
      <c r="D78" s="42"/>
      <c r="E78" s="42"/>
      <c r="F78" s="42"/>
      <c r="G78" s="42"/>
      <c r="H78" s="42"/>
      <c r="I78" s="244"/>
      <c r="P78" s="602" t="s">
        <v>619</v>
      </c>
      <c r="Q78" s="602"/>
      <c r="R78" s="159">
        <f>SUM(R74:R77)</f>
        <v>68</v>
      </c>
      <c r="S78" s="599"/>
      <c r="T78" s="605"/>
      <c r="U78" s="605"/>
      <c r="V78" s="600"/>
    </row>
    <row r="79" spans="1:22" ht="18.75" customHeight="1" x14ac:dyDescent="0.25">
      <c r="A79" s="239"/>
      <c r="B79" s="246" t="s">
        <v>843</v>
      </c>
      <c r="C79" s="247"/>
      <c r="D79" s="247"/>
      <c r="E79" s="247"/>
      <c r="F79" s="247"/>
      <c r="G79" s="57" t="s">
        <v>824</v>
      </c>
      <c r="H79" s="217">
        <v>6956.1580000000004</v>
      </c>
      <c r="I79" s="248" t="s">
        <v>42</v>
      </c>
    </row>
    <row r="80" spans="1:22" ht="18.75" customHeight="1" x14ac:dyDescent="0.25">
      <c r="A80" s="239"/>
      <c r="B80" s="246" t="s">
        <v>819</v>
      </c>
      <c r="C80" s="42"/>
      <c r="D80" s="42"/>
      <c r="E80" s="42"/>
      <c r="F80" s="42"/>
      <c r="G80" s="57" t="s">
        <v>825</v>
      </c>
      <c r="H80" s="217">
        <v>6795.5744000000004</v>
      </c>
      <c r="I80" s="248" t="s">
        <v>42</v>
      </c>
    </row>
    <row r="81" spans="1:24" ht="18.75" customHeight="1" x14ac:dyDescent="0.25">
      <c r="A81" s="239"/>
      <c r="B81" s="246" t="s">
        <v>821</v>
      </c>
      <c r="C81" s="42"/>
      <c r="D81" s="42"/>
      <c r="E81" s="42"/>
      <c r="F81" s="42"/>
      <c r="G81" s="57" t="s">
        <v>826</v>
      </c>
      <c r="H81" s="217">
        <v>6336.7824000000001</v>
      </c>
      <c r="I81" s="248" t="s">
        <v>42</v>
      </c>
      <c r="P81" s="59" t="s">
        <v>677</v>
      </c>
      <c r="R81" s="380">
        <f>ROUNDUP('Process (2)'!H160,0)</f>
        <v>68</v>
      </c>
      <c r="S81" s="28" t="s">
        <v>190</v>
      </c>
    </row>
    <row r="82" spans="1:24" ht="18.75" customHeight="1" x14ac:dyDescent="0.25">
      <c r="A82" s="239"/>
      <c r="B82" s="41"/>
      <c r="C82" s="42"/>
      <c r="D82" s="42"/>
      <c r="E82" s="42"/>
      <c r="F82" s="42"/>
      <c r="G82" s="42"/>
      <c r="H82" s="42"/>
      <c r="I82" s="43"/>
      <c r="P82" s="59"/>
      <c r="Q82" s="59"/>
      <c r="R82" s="327"/>
      <c r="S82" s="66"/>
      <c r="T82" s="59"/>
      <c r="U82" s="59"/>
      <c r="V82" s="59"/>
      <c r="W82" s="59"/>
      <c r="X82" s="59"/>
    </row>
    <row r="83" spans="1:24" ht="18.75" customHeight="1" x14ac:dyDescent="0.25">
      <c r="A83" s="239"/>
      <c r="B83" s="246" t="s">
        <v>846</v>
      </c>
      <c r="C83" s="42"/>
      <c r="D83" s="42"/>
      <c r="E83" s="42"/>
      <c r="F83" s="42"/>
      <c r="G83" s="57" t="s">
        <v>842</v>
      </c>
      <c r="H83" s="217">
        <v>10242.529500000001</v>
      </c>
      <c r="I83" s="248" t="s">
        <v>42</v>
      </c>
      <c r="P83" s="59"/>
      <c r="Q83" s="59"/>
      <c r="R83" s="327"/>
      <c r="S83" s="66"/>
      <c r="T83" s="59"/>
      <c r="U83" s="59"/>
      <c r="V83" s="59"/>
      <c r="W83" s="59"/>
      <c r="X83" s="59"/>
    </row>
    <row r="84" spans="1:24" ht="18.75" customHeight="1" x14ac:dyDescent="0.25">
      <c r="A84" s="239"/>
      <c r="B84" s="41"/>
      <c r="C84" s="42"/>
      <c r="D84" s="42"/>
      <c r="E84" s="42"/>
      <c r="F84" s="42"/>
      <c r="G84" s="42"/>
      <c r="H84" s="42"/>
      <c r="I84" s="244"/>
      <c r="P84" s="87" t="s">
        <v>615</v>
      </c>
      <c r="W84" s="28"/>
    </row>
    <row r="85" spans="1:24" ht="18.75" customHeight="1" x14ac:dyDescent="0.25">
      <c r="A85" s="239" t="s">
        <v>884</v>
      </c>
      <c r="B85" s="361" t="s">
        <v>885</v>
      </c>
      <c r="C85" s="42"/>
      <c r="D85" s="42"/>
      <c r="E85" s="42"/>
      <c r="F85" s="42"/>
      <c r="G85" s="42"/>
      <c r="H85" s="42"/>
      <c r="I85" s="244"/>
      <c r="P85" s="155"/>
      <c r="Q85" s="156" t="s">
        <v>89</v>
      </c>
      <c r="R85" s="156" t="s">
        <v>610</v>
      </c>
      <c r="S85" s="156" t="s">
        <v>611</v>
      </c>
      <c r="T85" s="156" t="s">
        <v>178</v>
      </c>
      <c r="U85" s="156" t="s">
        <v>612</v>
      </c>
      <c r="V85" s="156" t="s">
        <v>613</v>
      </c>
      <c r="W85" s="156" t="s">
        <v>614</v>
      </c>
    </row>
    <row r="86" spans="1:24" ht="18.75" customHeight="1" x14ac:dyDescent="0.25">
      <c r="A86" s="239"/>
      <c r="B86" s="41" t="s">
        <v>760</v>
      </c>
      <c r="C86" s="42"/>
      <c r="D86" s="42"/>
      <c r="E86" s="42"/>
      <c r="F86" s="42"/>
      <c r="G86" s="30" t="s">
        <v>761</v>
      </c>
      <c r="H86" s="208">
        <v>19.3</v>
      </c>
      <c r="I86" s="244" t="s">
        <v>762</v>
      </c>
      <c r="P86" s="157" t="s">
        <v>606</v>
      </c>
      <c r="Q86" s="145">
        <v>135</v>
      </c>
      <c r="R86" s="145">
        <v>60</v>
      </c>
      <c r="S86" s="145">
        <v>85</v>
      </c>
      <c r="T86" s="145">
        <v>100</v>
      </c>
      <c r="U86" s="145">
        <v>58</v>
      </c>
      <c r="V86" s="145">
        <v>39</v>
      </c>
      <c r="W86" s="145">
        <v>95</v>
      </c>
    </row>
    <row r="87" spans="1:24" ht="18.75" customHeight="1" x14ac:dyDescent="0.25">
      <c r="A87" s="239"/>
      <c r="B87" s="41" t="s">
        <v>763</v>
      </c>
      <c r="C87" s="42"/>
      <c r="D87" s="42"/>
      <c r="E87" s="42"/>
      <c r="F87" s="42"/>
      <c r="G87" s="30" t="s">
        <v>764</v>
      </c>
      <c r="H87" s="208">
        <v>126</v>
      </c>
      <c r="I87" s="244" t="s">
        <v>762</v>
      </c>
      <c r="P87" s="158" t="s">
        <v>607</v>
      </c>
      <c r="Q87" s="145">
        <v>165</v>
      </c>
      <c r="R87" s="145">
        <v>60</v>
      </c>
      <c r="S87" s="145">
        <v>110</v>
      </c>
      <c r="T87" s="145">
        <v>100</v>
      </c>
      <c r="U87" s="145">
        <v>85</v>
      </c>
      <c r="V87" s="145">
        <v>54</v>
      </c>
      <c r="W87" s="145">
        <v>125</v>
      </c>
    </row>
    <row r="88" spans="1:24" ht="18.75" customHeight="1" x14ac:dyDescent="0.25">
      <c r="A88" s="239"/>
      <c r="B88" s="41" t="s">
        <v>765</v>
      </c>
      <c r="C88" s="42"/>
      <c r="D88" s="42"/>
      <c r="E88" s="42"/>
      <c r="F88" s="42"/>
      <c r="G88" s="30" t="s">
        <v>766</v>
      </c>
      <c r="H88" s="208">
        <v>90</v>
      </c>
      <c r="I88" s="244" t="s">
        <v>762</v>
      </c>
      <c r="P88" s="158" t="s">
        <v>608</v>
      </c>
      <c r="Q88" s="145">
        <v>215</v>
      </c>
      <c r="R88" s="145">
        <v>60</v>
      </c>
      <c r="S88" s="145">
        <v>150</v>
      </c>
      <c r="T88" s="145">
        <v>160</v>
      </c>
      <c r="U88" s="145">
        <v>120</v>
      </c>
      <c r="V88" s="145">
        <v>72</v>
      </c>
      <c r="W88" s="145">
        <v>150</v>
      </c>
    </row>
    <row r="89" spans="1:24" ht="18.75" customHeight="1" x14ac:dyDescent="0.25">
      <c r="A89" s="239"/>
      <c r="B89" s="41" t="s">
        <v>767</v>
      </c>
      <c r="C89" s="42"/>
      <c r="D89" s="42"/>
      <c r="E89" s="42"/>
      <c r="F89" s="42"/>
      <c r="G89" s="30" t="s">
        <v>768</v>
      </c>
      <c r="H89" s="208">
        <v>2500</v>
      </c>
      <c r="I89" s="244" t="s">
        <v>5</v>
      </c>
      <c r="P89" s="158" t="s">
        <v>609</v>
      </c>
      <c r="Q89" s="145">
        <v>265</v>
      </c>
      <c r="R89" s="145">
        <v>70</v>
      </c>
      <c r="S89" s="145">
        <v>180</v>
      </c>
      <c r="T89" s="145">
        <v>210</v>
      </c>
      <c r="U89" s="145">
        <v>145</v>
      </c>
      <c r="V89" s="145">
        <v>87</v>
      </c>
      <c r="W89" s="145">
        <v>200</v>
      </c>
    </row>
    <row r="90" spans="1:24" ht="18.75" customHeight="1" x14ac:dyDescent="0.25">
      <c r="A90" s="239"/>
      <c r="B90" s="41" t="s">
        <v>771</v>
      </c>
      <c r="C90" s="42"/>
      <c r="D90" s="42"/>
      <c r="E90" s="42"/>
      <c r="F90" s="42"/>
      <c r="G90" s="30" t="s">
        <v>772</v>
      </c>
      <c r="H90" s="208">
        <v>2.3999999999999998E-3</v>
      </c>
      <c r="I90" s="244" t="s">
        <v>773</v>
      </c>
      <c r="P90" s="18"/>
      <c r="W90" s="28"/>
    </row>
    <row r="91" spans="1:24" ht="18.75" customHeight="1" x14ac:dyDescent="0.25">
      <c r="A91" s="239"/>
      <c r="B91" s="41"/>
      <c r="C91" s="42"/>
      <c r="D91" s="42"/>
      <c r="E91" s="42"/>
      <c r="F91" s="42"/>
      <c r="G91" s="42"/>
      <c r="H91" s="42"/>
      <c r="I91" s="244"/>
      <c r="P91" s="18"/>
      <c r="W91" s="28"/>
    </row>
    <row r="92" spans="1:24" ht="18.75" customHeight="1" x14ac:dyDescent="0.25">
      <c r="A92" s="239" t="s">
        <v>953</v>
      </c>
      <c r="B92" s="320" t="s">
        <v>1027</v>
      </c>
      <c r="C92" s="42"/>
      <c r="D92" s="42"/>
      <c r="E92" s="42"/>
      <c r="F92" s="42"/>
      <c r="G92" s="42"/>
      <c r="H92" s="30"/>
      <c r="I92" s="257"/>
      <c r="W92" s="28"/>
    </row>
    <row r="93" spans="1:24" ht="18.75" customHeight="1" x14ac:dyDescent="0.25">
      <c r="A93" s="239"/>
      <c r="B93" s="594" t="s">
        <v>1028</v>
      </c>
      <c r="C93" s="595"/>
      <c r="D93" s="595"/>
      <c r="E93" s="595"/>
      <c r="F93" s="595"/>
      <c r="G93" s="30" t="s">
        <v>1029</v>
      </c>
      <c r="H93" s="463">
        <v>0.3</v>
      </c>
      <c r="I93" s="244" t="s">
        <v>1030</v>
      </c>
      <c r="W93" s="28"/>
    </row>
    <row r="94" spans="1:24" ht="37.5" customHeight="1" x14ac:dyDescent="0.25">
      <c r="A94" s="239"/>
      <c r="B94" s="594" t="s">
        <v>1031</v>
      </c>
      <c r="C94" s="595"/>
      <c r="D94" s="595"/>
      <c r="E94" s="595"/>
      <c r="F94" s="595"/>
      <c r="G94" s="30" t="s">
        <v>1032</v>
      </c>
      <c r="H94" s="463">
        <v>0.6</v>
      </c>
      <c r="I94" s="244" t="s">
        <v>1030</v>
      </c>
      <c r="J94" s="28"/>
      <c r="W94" s="28"/>
    </row>
    <row r="95" spans="1:24" ht="37.5" customHeight="1" x14ac:dyDescent="0.25">
      <c r="A95" s="239"/>
      <c r="B95" s="594" t="s">
        <v>1033</v>
      </c>
      <c r="C95" s="595"/>
      <c r="D95" s="595"/>
      <c r="E95" s="595"/>
      <c r="F95" s="595"/>
      <c r="G95" s="30" t="s">
        <v>1034</v>
      </c>
      <c r="H95" s="463">
        <v>0.25</v>
      </c>
      <c r="I95" s="244" t="s">
        <v>1030</v>
      </c>
      <c r="W95" s="28"/>
    </row>
    <row r="96" spans="1:24" ht="18.75" customHeight="1" x14ac:dyDescent="0.25">
      <c r="A96" s="239"/>
      <c r="B96" s="41"/>
      <c r="C96" s="42"/>
      <c r="D96" s="42"/>
      <c r="E96" s="42"/>
      <c r="F96" s="42"/>
      <c r="G96" s="42"/>
      <c r="H96" s="42"/>
      <c r="I96" s="244"/>
      <c r="W96" s="28"/>
    </row>
    <row r="97" spans="1:23" ht="18.75" customHeight="1" x14ac:dyDescent="0.25">
      <c r="A97" s="241"/>
      <c r="B97" s="44"/>
      <c r="C97" s="45"/>
      <c r="D97" s="45"/>
      <c r="E97" s="45"/>
      <c r="F97" s="45"/>
      <c r="G97" s="45"/>
      <c r="H97" s="45"/>
      <c r="I97" s="290"/>
      <c r="W97" s="28"/>
    </row>
    <row r="98" spans="1:23" ht="18.75" customHeight="1" x14ac:dyDescent="0.25">
      <c r="W98" s="28"/>
    </row>
    <row r="99" spans="1:23" ht="18.75" customHeight="1" x14ac:dyDescent="0.25">
      <c r="W99" s="28"/>
    </row>
    <row r="100" spans="1:23" ht="18.75" customHeight="1" x14ac:dyDescent="0.25">
      <c r="W100" s="28"/>
    </row>
    <row r="101" spans="1:23" ht="18.75" customHeight="1" x14ac:dyDescent="0.25">
      <c r="W101" s="28"/>
    </row>
    <row r="102" spans="1:23" ht="18.75" customHeight="1" x14ac:dyDescent="0.25">
      <c r="W102" s="28"/>
    </row>
    <row r="103" spans="1:23" ht="18.75" customHeight="1" x14ac:dyDescent="0.25">
      <c r="W103" s="28"/>
    </row>
    <row r="104" spans="1:23" ht="18.75" customHeight="1" x14ac:dyDescent="0.25">
      <c r="W104" s="28"/>
    </row>
    <row r="105" spans="1:23" ht="18.75" customHeight="1" x14ac:dyDescent="0.25">
      <c r="W105" s="28"/>
    </row>
    <row r="107" spans="1:23" ht="18.75" customHeight="1" x14ac:dyDescent="0.25">
      <c r="P107" s="87" t="s">
        <v>844</v>
      </c>
    </row>
    <row r="108" spans="1:23" ht="18.75" customHeight="1" x14ac:dyDescent="0.25">
      <c r="P108" s="155"/>
      <c r="Q108" s="156" t="s">
        <v>89</v>
      </c>
      <c r="R108" s="156" t="s">
        <v>610</v>
      </c>
      <c r="S108" s="156" t="s">
        <v>611</v>
      </c>
      <c r="T108" s="156" t="s">
        <v>178</v>
      </c>
    </row>
    <row r="109" spans="1:23" ht="18.75" customHeight="1" x14ac:dyDescent="0.25">
      <c r="P109" s="157" t="s">
        <v>606</v>
      </c>
      <c r="Q109" s="190">
        <v>125</v>
      </c>
      <c r="R109" s="190">
        <v>125</v>
      </c>
      <c r="S109" s="190">
        <v>600</v>
      </c>
      <c r="T109" s="190" t="s">
        <v>845</v>
      </c>
    </row>
    <row r="110" spans="1:23" ht="18.75" customHeight="1" x14ac:dyDescent="0.25">
      <c r="P110" s="158" t="s">
        <v>607</v>
      </c>
      <c r="Q110" s="190">
        <v>175</v>
      </c>
      <c r="R110" s="190">
        <v>150</v>
      </c>
      <c r="S110" s="190">
        <v>600</v>
      </c>
      <c r="T110" s="190" t="s">
        <v>845</v>
      </c>
    </row>
    <row r="111" spans="1:23" ht="18.75" customHeight="1" x14ac:dyDescent="0.25">
      <c r="P111" s="158" t="s">
        <v>608</v>
      </c>
      <c r="Q111" s="190">
        <v>300</v>
      </c>
      <c r="R111" s="190">
        <v>250</v>
      </c>
      <c r="S111" s="190">
        <v>1000</v>
      </c>
      <c r="T111" s="190">
        <v>150</v>
      </c>
    </row>
    <row r="112" spans="1:23" ht="18.75" customHeight="1" x14ac:dyDescent="0.25">
      <c r="P112" s="158" t="s">
        <v>609</v>
      </c>
      <c r="Q112" s="190">
        <v>375</v>
      </c>
      <c r="R112" s="190">
        <v>300</v>
      </c>
      <c r="S112" s="190">
        <v>1000</v>
      </c>
      <c r="T112" s="190">
        <v>150</v>
      </c>
    </row>
    <row r="135" spans="1:11" ht="18.75" customHeight="1" x14ac:dyDescent="0.25">
      <c r="G135" s="74"/>
      <c r="H135" s="75"/>
    </row>
    <row r="136" spans="1:11" ht="18.75" customHeight="1" x14ac:dyDescent="0.25">
      <c r="A136" s="3"/>
      <c r="I136" s="1"/>
    </row>
    <row r="137" spans="1:11" ht="18.75" customHeight="1" x14ac:dyDescent="0.25">
      <c r="A137" s="3"/>
      <c r="I137" s="1"/>
    </row>
    <row r="138" spans="1:11" ht="18.75" customHeight="1" x14ac:dyDescent="0.25">
      <c r="A138" s="3"/>
      <c r="I138" s="1"/>
      <c r="J138" s="116"/>
    </row>
    <row r="139" spans="1:11" ht="18.75" customHeight="1" x14ac:dyDescent="0.25">
      <c r="A139" s="3"/>
      <c r="I139" s="1"/>
      <c r="J139" s="116"/>
    </row>
    <row r="140" spans="1:11" ht="18.75" customHeight="1" x14ac:dyDescent="0.25">
      <c r="A140" s="3"/>
      <c r="I140" s="1"/>
      <c r="J140" s="116"/>
    </row>
    <row r="141" spans="1:11" ht="18.75" customHeight="1" x14ac:dyDescent="0.25">
      <c r="A141" s="3"/>
      <c r="I141" s="1"/>
      <c r="J141" s="117"/>
      <c r="K141" s="59"/>
    </row>
    <row r="142" spans="1:11" ht="18.75" customHeight="1" x14ac:dyDescent="0.25">
      <c r="A142" s="3"/>
      <c r="I142" s="1"/>
      <c r="J142" s="117"/>
      <c r="K142" s="59"/>
    </row>
    <row r="143" spans="1:11" ht="18.75" customHeight="1" x14ac:dyDescent="0.25">
      <c r="J143" s="117"/>
      <c r="K143" s="59"/>
    </row>
    <row r="144" spans="1:11" ht="18.75" customHeight="1" x14ac:dyDescent="0.25">
      <c r="J144" s="117"/>
      <c r="K144" s="59"/>
    </row>
    <row r="145" spans="10:11" ht="18.75" customHeight="1" x14ac:dyDescent="0.25">
      <c r="J145" s="117"/>
      <c r="K145" s="59"/>
    </row>
    <row r="146" spans="10:11" ht="18.75" customHeight="1" x14ac:dyDescent="0.25">
      <c r="J146" s="117"/>
      <c r="K146" s="59"/>
    </row>
  </sheetData>
  <mergeCells count="14">
    <mergeCell ref="B93:F93"/>
    <mergeCell ref="B94:F94"/>
    <mergeCell ref="B95:F95"/>
    <mergeCell ref="B1:F1"/>
    <mergeCell ref="V72:V73"/>
    <mergeCell ref="G71:H71"/>
    <mergeCell ref="T72:U72"/>
    <mergeCell ref="P78:Q78"/>
    <mergeCell ref="P72:P73"/>
    <mergeCell ref="Q72:Q73"/>
    <mergeCell ref="R72:R73"/>
    <mergeCell ref="S72:S73"/>
    <mergeCell ref="S78:V78"/>
    <mergeCell ref="G60:H60"/>
  </mergeCells>
  <dataValidations count="5">
    <dataValidation type="list" allowBlank="1" showInputMessage="1" showErrorMessage="1" sqref="H22" xr:uid="{4C113FB6-8954-41A5-A940-53E1D5FF577B}">
      <formula1>"3,5,7,9"</formula1>
    </dataValidation>
    <dataValidation type="list" allowBlank="1" showInputMessage="1" showErrorMessage="1" sqref="Q74" xr:uid="{9C326C60-CCE2-4CFF-9334-48113CD065D6}">
      <formula1>$P$86:$P$89</formula1>
    </dataValidation>
    <dataValidation type="list" allowBlank="1" showInputMessage="1" showErrorMessage="1" sqref="G60:H60" xr:uid="{5C039DC9-26E3-4000-9CE1-89BF87167496}">
      <formula1>"Dengan Lekatan (Bounded),Tanpa Lekatan (Unbounded)"</formula1>
    </dataValidation>
    <dataValidation type="list" allowBlank="1" showInputMessage="1" showErrorMessage="1" sqref="H72" xr:uid="{744213FF-9583-40FE-836F-7D3B1D019718}">
      <formula1>"2,3,4,"</formula1>
    </dataValidation>
    <dataValidation type="list" allowBlank="1" showInputMessage="1" showErrorMessage="1" sqref="G71:H71" xr:uid="{1D09C539-02FF-449D-8207-CC8F6275E8A3}">
      <formula1>"PC I H-125,PC I H-160,PC I H-170,PC I H-210,"</formula1>
    </dataValidation>
  </dataValidations>
  <pageMargins left="0.7" right="0.7" top="0.75" bottom="0.75" header="0.3" footer="0.3"/>
  <pageSetup orientation="portrait" horizontalDpi="300" verticalDpi="0" r:id="rId1"/>
  <ignoredErrors>
    <ignoredError sqref="Q75 P89 P112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A1B2-6390-47E8-A501-233CFA38E314}">
  <sheetPr codeName="Sheet3"/>
  <dimension ref="A1:AE129"/>
  <sheetViews>
    <sheetView showGridLines="0" topLeftCell="A29" zoomScaleNormal="100" workbookViewId="0">
      <selection activeCell="V127" sqref="V127"/>
    </sheetView>
  </sheetViews>
  <sheetFormatPr defaultRowHeight="15" x14ac:dyDescent="0.25"/>
  <sheetData>
    <row r="1" spans="5:21" x14ac:dyDescent="0.25">
      <c r="E1" s="384" t="s">
        <v>44</v>
      </c>
      <c r="F1" s="384" t="s">
        <v>207</v>
      </c>
      <c r="G1" s="384" t="s">
        <v>208</v>
      </c>
      <c r="H1" s="384" t="s">
        <v>1102</v>
      </c>
      <c r="I1" s="384" t="s">
        <v>1103</v>
      </c>
      <c r="K1" s="384" t="s">
        <v>44</v>
      </c>
      <c r="L1" s="384" t="s">
        <v>207</v>
      </c>
      <c r="M1" s="384" t="s">
        <v>208</v>
      </c>
      <c r="N1" s="384" t="s">
        <v>1102</v>
      </c>
      <c r="O1" s="384" t="s">
        <v>1103</v>
      </c>
      <c r="Q1" s="384" t="s">
        <v>44</v>
      </c>
      <c r="R1" s="384" t="s">
        <v>207</v>
      </c>
      <c r="S1" s="384" t="s">
        <v>208</v>
      </c>
      <c r="T1" s="384" t="s">
        <v>1102</v>
      </c>
      <c r="U1" s="384" t="s">
        <v>1103</v>
      </c>
    </row>
    <row r="2" spans="5:21" x14ac:dyDescent="0.25">
      <c r="E2" s="384" t="s">
        <v>89</v>
      </c>
      <c r="F2" s="386">
        <f>-0.5*B43</f>
        <v>-0.35</v>
      </c>
      <c r="G2" s="386">
        <f>-0.5*D44</f>
        <v>-1.05</v>
      </c>
      <c r="H2" s="386">
        <f t="shared" ref="H2:H18" si="0">$F$21/$F$20*F2</f>
        <v>-16.666666666666668</v>
      </c>
      <c r="I2" s="386">
        <f t="shared" ref="I2:I18" si="1">$F$21/$F$20*G2</f>
        <v>-50</v>
      </c>
      <c r="K2" s="384" t="s">
        <v>89</v>
      </c>
      <c r="L2" s="388">
        <f t="shared" ref="L2:O3" si="2">F2</f>
        <v>-0.35</v>
      </c>
      <c r="M2" s="388">
        <f t="shared" si="2"/>
        <v>-1.05</v>
      </c>
      <c r="N2" s="388">
        <f t="shared" si="2"/>
        <v>-16.666666666666668</v>
      </c>
      <c r="O2" s="388">
        <f t="shared" si="2"/>
        <v>-50</v>
      </c>
      <c r="Q2" s="384" t="s">
        <v>1124</v>
      </c>
      <c r="R2" s="386">
        <f>-F20</f>
        <v>-1.05</v>
      </c>
      <c r="S2" s="386">
        <f>S3</f>
        <v>1.05</v>
      </c>
      <c r="T2" s="386">
        <f t="shared" ref="T2:T7" si="3">$F$21/$F$20*R2</f>
        <v>-50</v>
      </c>
      <c r="U2" s="386">
        <f t="shared" ref="U2:U7" si="4">$F$21/$F$20*S2</f>
        <v>50</v>
      </c>
    </row>
    <row r="3" spans="5:21" x14ac:dyDescent="0.25">
      <c r="E3" s="384" t="s">
        <v>610</v>
      </c>
      <c r="F3" s="385">
        <f>F2</f>
        <v>-0.35</v>
      </c>
      <c r="G3" s="385">
        <f>G2+D43</f>
        <v>-0.8</v>
      </c>
      <c r="H3" s="385">
        <f t="shared" si="0"/>
        <v>-16.666666666666668</v>
      </c>
      <c r="I3" s="385">
        <f t="shared" si="1"/>
        <v>-38.095238095238095</v>
      </c>
      <c r="K3" s="384" t="s">
        <v>610</v>
      </c>
      <c r="L3" s="385">
        <f t="shared" si="2"/>
        <v>-0.35</v>
      </c>
      <c r="M3" s="385">
        <f t="shared" si="2"/>
        <v>-0.8</v>
      </c>
      <c r="N3" s="385">
        <f t="shared" si="2"/>
        <v>-16.666666666666668</v>
      </c>
      <c r="O3" s="385">
        <f t="shared" si="2"/>
        <v>-38.095238095238095</v>
      </c>
      <c r="Q3" s="384" t="s">
        <v>1001</v>
      </c>
      <c r="R3" s="385">
        <f>F9</f>
        <v>-0.32</v>
      </c>
      <c r="S3" s="385">
        <f>G9</f>
        <v>1.05</v>
      </c>
      <c r="T3" s="385">
        <f t="shared" si="3"/>
        <v>-15.238095238095239</v>
      </c>
      <c r="U3" s="385">
        <f t="shared" si="4"/>
        <v>50</v>
      </c>
    </row>
    <row r="4" spans="5:21" x14ac:dyDescent="0.25">
      <c r="E4" s="384" t="s">
        <v>611</v>
      </c>
      <c r="F4" s="386">
        <f>F3+B42</f>
        <v>-0.1</v>
      </c>
      <c r="G4" s="386">
        <f>G3+D42</f>
        <v>-0.55000000000000004</v>
      </c>
      <c r="H4" s="386">
        <f t="shared" si="0"/>
        <v>-4.7619047619047619</v>
      </c>
      <c r="I4" s="386">
        <f t="shared" si="1"/>
        <v>-26.190476190476193</v>
      </c>
      <c r="K4" s="384" t="s">
        <v>1104</v>
      </c>
      <c r="L4" s="388">
        <f>F8</f>
        <v>-0.32</v>
      </c>
      <c r="M4" s="388">
        <f>G2+((1-ABS(L4-L20)/B42)*D42+D43)</f>
        <v>-0.77</v>
      </c>
      <c r="N4" s="388">
        <f>$F$21/$F$20*L4</f>
        <v>-15.238095238095239</v>
      </c>
      <c r="O4" s="388">
        <f>$F$21/$F$20*M4</f>
        <v>-36.666666666666671</v>
      </c>
      <c r="Q4" s="384" t="s">
        <v>1002</v>
      </c>
      <c r="R4" s="386">
        <f>F10</f>
        <v>0.32</v>
      </c>
      <c r="S4" s="386">
        <f>S3+P42</f>
        <v>1.05</v>
      </c>
      <c r="T4" s="386">
        <f t="shared" si="3"/>
        <v>15.238095238095239</v>
      </c>
      <c r="U4" s="386">
        <f t="shared" si="4"/>
        <v>50</v>
      </c>
    </row>
    <row r="5" spans="5:21" x14ac:dyDescent="0.25">
      <c r="E5" s="384" t="s">
        <v>178</v>
      </c>
      <c r="F5" s="385">
        <f>F4</f>
        <v>-0.1</v>
      </c>
      <c r="G5" s="385">
        <f>G3+D41-D40</f>
        <v>0.73000000000000009</v>
      </c>
      <c r="H5" s="385">
        <f t="shared" si="0"/>
        <v>-4.7619047619047619</v>
      </c>
      <c r="I5" s="385">
        <f t="shared" si="1"/>
        <v>34.761904761904766</v>
      </c>
      <c r="K5" s="384" t="s">
        <v>1105</v>
      </c>
      <c r="L5" s="385">
        <f>L4</f>
        <v>-0.32</v>
      </c>
      <c r="M5" s="385">
        <f>M6-(B40-ABS(L5-L21))/B40*D40</f>
        <v>0.81800000000000006</v>
      </c>
      <c r="N5" s="385">
        <f>$F$21/$F$20*L5</f>
        <v>-15.238095238095239</v>
      </c>
      <c r="O5" s="385">
        <f>$F$21/$F$20*M5</f>
        <v>38.952380952380956</v>
      </c>
      <c r="Q5" s="384" t="s">
        <v>1125</v>
      </c>
      <c r="R5" s="385">
        <f>-R2</f>
        <v>1.05</v>
      </c>
      <c r="S5" s="385">
        <f>S3+P41-P40</f>
        <v>1.05</v>
      </c>
      <c r="T5" s="385">
        <f t="shared" si="3"/>
        <v>50</v>
      </c>
      <c r="U5" s="385">
        <f t="shared" si="4"/>
        <v>50</v>
      </c>
    </row>
    <row r="6" spans="5:21" x14ac:dyDescent="0.25">
      <c r="E6" s="384" t="s">
        <v>612</v>
      </c>
      <c r="F6" s="386">
        <f>F5-B40</f>
        <v>-0.4</v>
      </c>
      <c r="G6" s="386">
        <f>G5+D40</f>
        <v>0.85000000000000009</v>
      </c>
      <c r="H6" s="386">
        <f t="shared" si="0"/>
        <v>-19.047619047619047</v>
      </c>
      <c r="I6" s="386">
        <f t="shared" si="1"/>
        <v>40.476190476190482</v>
      </c>
      <c r="K6" s="384" t="s">
        <v>612</v>
      </c>
      <c r="L6" s="388">
        <f t="shared" ref="L6:O13" si="5">F6</f>
        <v>-0.4</v>
      </c>
      <c r="M6" s="388">
        <f t="shared" si="5"/>
        <v>0.85000000000000009</v>
      </c>
      <c r="N6" s="388">
        <f t="shared" si="5"/>
        <v>-19.047619047619047</v>
      </c>
      <c r="O6" s="388">
        <f t="shared" si="5"/>
        <v>40.476190476190482</v>
      </c>
      <c r="Q6" s="384" t="s">
        <v>1009</v>
      </c>
      <c r="R6" s="386">
        <f>R2</f>
        <v>-1.05</v>
      </c>
      <c r="S6" s="386">
        <f>S5+'Input (1)'!H13</f>
        <v>1.3</v>
      </c>
      <c r="T6" s="386">
        <f t="shared" si="3"/>
        <v>-50</v>
      </c>
      <c r="U6" s="386">
        <f t="shared" si="4"/>
        <v>61.904761904761905</v>
      </c>
    </row>
    <row r="7" spans="5:21" x14ac:dyDescent="0.25">
      <c r="E7" s="384" t="s">
        <v>613</v>
      </c>
      <c r="F7" s="385">
        <f>F6</f>
        <v>-0.4</v>
      </c>
      <c r="G7" s="385">
        <f>G6+D39</f>
        <v>0.98000000000000009</v>
      </c>
      <c r="H7" s="385">
        <f t="shared" si="0"/>
        <v>-19.047619047619047</v>
      </c>
      <c r="I7" s="385">
        <f t="shared" si="1"/>
        <v>46.666666666666671</v>
      </c>
      <c r="K7" s="384" t="s">
        <v>613</v>
      </c>
      <c r="L7" s="385">
        <f t="shared" si="5"/>
        <v>-0.4</v>
      </c>
      <c r="M7" s="385">
        <f t="shared" si="5"/>
        <v>0.98000000000000009</v>
      </c>
      <c r="N7" s="385">
        <f t="shared" si="5"/>
        <v>-19.047619047619047</v>
      </c>
      <c r="O7" s="385">
        <f t="shared" si="5"/>
        <v>46.666666666666671</v>
      </c>
      <c r="Q7" s="384" t="s">
        <v>1126</v>
      </c>
      <c r="R7" s="385">
        <f>R5</f>
        <v>1.05</v>
      </c>
      <c r="S7" s="385">
        <f>S6+P39</f>
        <v>1.3</v>
      </c>
      <c r="T7" s="385">
        <f t="shared" si="3"/>
        <v>50</v>
      </c>
      <c r="U7" s="385">
        <f t="shared" si="4"/>
        <v>61.904761904761905</v>
      </c>
    </row>
    <row r="8" spans="5:21" x14ac:dyDescent="0.25">
      <c r="E8" s="384" t="s">
        <v>614</v>
      </c>
      <c r="F8" s="386">
        <f>F7+0.5*(B39-B38)</f>
        <v>-0.32</v>
      </c>
      <c r="G8" s="386">
        <f>G7</f>
        <v>0.98000000000000009</v>
      </c>
      <c r="H8" s="386">
        <f t="shared" si="0"/>
        <v>-15.238095238095239</v>
      </c>
      <c r="I8" s="386">
        <f t="shared" si="1"/>
        <v>46.666666666666671</v>
      </c>
      <c r="K8" s="384" t="s">
        <v>614</v>
      </c>
      <c r="L8" s="388">
        <f t="shared" si="5"/>
        <v>-0.32</v>
      </c>
      <c r="M8" s="388">
        <f t="shared" si="5"/>
        <v>0.98000000000000009</v>
      </c>
      <c r="N8" s="388">
        <f t="shared" si="5"/>
        <v>-15.238095238095239</v>
      </c>
      <c r="O8" s="388">
        <f t="shared" si="5"/>
        <v>46.666666666666671</v>
      </c>
    </row>
    <row r="9" spans="5:21" x14ac:dyDescent="0.25">
      <c r="E9" s="384" t="s">
        <v>1001</v>
      </c>
      <c r="F9" s="385">
        <f>F8</f>
        <v>-0.32</v>
      </c>
      <c r="G9" s="385">
        <f>G8+D38</f>
        <v>1.05</v>
      </c>
      <c r="H9" s="385">
        <f t="shared" si="0"/>
        <v>-15.238095238095239</v>
      </c>
      <c r="I9" s="385">
        <f t="shared" si="1"/>
        <v>50</v>
      </c>
      <c r="K9" s="384" t="s">
        <v>1001</v>
      </c>
      <c r="L9" s="385">
        <f t="shared" si="5"/>
        <v>-0.32</v>
      </c>
      <c r="M9" s="385">
        <f t="shared" si="5"/>
        <v>1.05</v>
      </c>
      <c r="N9" s="385">
        <f t="shared" si="5"/>
        <v>-15.238095238095239</v>
      </c>
      <c r="O9" s="385">
        <f t="shared" si="5"/>
        <v>50</v>
      </c>
    </row>
    <row r="10" spans="5:21" x14ac:dyDescent="0.25">
      <c r="E10" s="384" t="s">
        <v>1002</v>
      </c>
      <c r="F10" s="386">
        <f>-F9</f>
        <v>0.32</v>
      </c>
      <c r="G10" s="386">
        <f>G9</f>
        <v>1.05</v>
      </c>
      <c r="H10" s="386">
        <f t="shared" si="0"/>
        <v>15.238095238095239</v>
      </c>
      <c r="I10" s="386">
        <f t="shared" si="1"/>
        <v>50</v>
      </c>
      <c r="K10" s="384" t="s">
        <v>1002</v>
      </c>
      <c r="L10" s="388">
        <f t="shared" si="5"/>
        <v>0.32</v>
      </c>
      <c r="M10" s="388">
        <f t="shared" si="5"/>
        <v>1.05</v>
      </c>
      <c r="N10" s="388">
        <f t="shared" si="5"/>
        <v>15.238095238095239</v>
      </c>
      <c r="O10" s="388">
        <f t="shared" si="5"/>
        <v>50</v>
      </c>
    </row>
    <row r="11" spans="5:21" x14ac:dyDescent="0.25">
      <c r="E11" s="384" t="s">
        <v>1003</v>
      </c>
      <c r="F11" s="385">
        <f>-F8</f>
        <v>0.32</v>
      </c>
      <c r="G11" s="385">
        <f>G8</f>
        <v>0.98000000000000009</v>
      </c>
      <c r="H11" s="385">
        <f t="shared" si="0"/>
        <v>15.238095238095239</v>
      </c>
      <c r="I11" s="385">
        <f t="shared" si="1"/>
        <v>46.666666666666671</v>
      </c>
      <c r="K11" s="384" t="s">
        <v>1003</v>
      </c>
      <c r="L11" s="385">
        <f t="shared" si="5"/>
        <v>0.32</v>
      </c>
      <c r="M11" s="385">
        <f t="shared" si="5"/>
        <v>0.98000000000000009</v>
      </c>
      <c r="N11" s="385">
        <f t="shared" si="5"/>
        <v>15.238095238095239</v>
      </c>
      <c r="O11" s="385">
        <f t="shared" si="5"/>
        <v>46.666666666666671</v>
      </c>
    </row>
    <row r="12" spans="5:21" x14ac:dyDescent="0.25">
      <c r="E12" s="384" t="s">
        <v>1004</v>
      </c>
      <c r="F12" s="386">
        <f>-F7</f>
        <v>0.4</v>
      </c>
      <c r="G12" s="386">
        <f>G7</f>
        <v>0.98000000000000009</v>
      </c>
      <c r="H12" s="386">
        <f t="shared" si="0"/>
        <v>19.047619047619047</v>
      </c>
      <c r="I12" s="386">
        <f t="shared" si="1"/>
        <v>46.666666666666671</v>
      </c>
      <c r="K12" s="384" t="s">
        <v>1004</v>
      </c>
      <c r="L12" s="388">
        <f t="shared" si="5"/>
        <v>0.4</v>
      </c>
      <c r="M12" s="388">
        <f t="shared" si="5"/>
        <v>0.98000000000000009</v>
      </c>
      <c r="N12" s="388">
        <f t="shared" si="5"/>
        <v>19.047619047619047</v>
      </c>
      <c r="O12" s="388">
        <f t="shared" si="5"/>
        <v>46.666666666666671</v>
      </c>
    </row>
    <row r="13" spans="5:21" x14ac:dyDescent="0.25">
      <c r="E13" s="384" t="s">
        <v>1005</v>
      </c>
      <c r="F13" s="385">
        <f>-F6</f>
        <v>0.4</v>
      </c>
      <c r="G13" s="385">
        <f>G6</f>
        <v>0.85000000000000009</v>
      </c>
      <c r="H13" s="385">
        <f t="shared" si="0"/>
        <v>19.047619047619047</v>
      </c>
      <c r="I13" s="385">
        <f t="shared" si="1"/>
        <v>40.476190476190482</v>
      </c>
      <c r="K13" s="384" t="s">
        <v>1005</v>
      </c>
      <c r="L13" s="385">
        <f t="shared" si="5"/>
        <v>0.4</v>
      </c>
      <c r="M13" s="385">
        <f t="shared" si="5"/>
        <v>0.85000000000000009</v>
      </c>
      <c r="N13" s="385">
        <f t="shared" si="5"/>
        <v>19.047619047619047</v>
      </c>
      <c r="O13" s="385">
        <f t="shared" si="5"/>
        <v>40.476190476190482</v>
      </c>
    </row>
    <row r="14" spans="5:21" x14ac:dyDescent="0.25">
      <c r="E14" s="384" t="s">
        <v>1006</v>
      </c>
      <c r="F14" s="386">
        <f>-F5</f>
        <v>0.1</v>
      </c>
      <c r="G14" s="386">
        <f>G5</f>
        <v>0.73000000000000009</v>
      </c>
      <c r="H14" s="386">
        <f t="shared" si="0"/>
        <v>4.7619047619047619</v>
      </c>
      <c r="I14" s="386">
        <f t="shared" si="1"/>
        <v>34.761904761904766</v>
      </c>
      <c r="K14" s="384" t="s">
        <v>1106</v>
      </c>
      <c r="L14" s="388">
        <f>-L5</f>
        <v>0.32</v>
      </c>
      <c r="M14" s="388">
        <f>M5</f>
        <v>0.81800000000000006</v>
      </c>
      <c r="N14" s="388">
        <f>$F$21/$F$20*L14</f>
        <v>15.238095238095239</v>
      </c>
      <c r="O14" s="388">
        <f>$F$21/$F$20*M14</f>
        <v>38.952380952380956</v>
      </c>
    </row>
    <row r="15" spans="5:21" x14ac:dyDescent="0.25">
      <c r="E15" s="384" t="s">
        <v>1010</v>
      </c>
      <c r="F15" s="385">
        <f>-F4</f>
        <v>0.1</v>
      </c>
      <c r="G15" s="385">
        <f>G4</f>
        <v>-0.55000000000000004</v>
      </c>
      <c r="H15" s="385">
        <f t="shared" si="0"/>
        <v>4.7619047619047619</v>
      </c>
      <c r="I15" s="385">
        <f t="shared" si="1"/>
        <v>-26.190476190476193</v>
      </c>
      <c r="K15" s="384" t="s">
        <v>1107</v>
      </c>
      <c r="L15" s="385">
        <f>L14</f>
        <v>0.32</v>
      </c>
      <c r="M15" s="385">
        <f>M4</f>
        <v>-0.77</v>
      </c>
      <c r="N15" s="385">
        <f>$F$21/$F$20*L15</f>
        <v>15.238095238095239</v>
      </c>
      <c r="O15" s="385">
        <f>$F$21/$F$20*M15</f>
        <v>-36.666666666666671</v>
      </c>
    </row>
    <row r="16" spans="5:21" x14ac:dyDescent="0.25">
      <c r="E16" s="384" t="s">
        <v>1007</v>
      </c>
      <c r="F16" s="388">
        <f>-F3</f>
        <v>0.35</v>
      </c>
      <c r="G16" s="388">
        <f>G3</f>
        <v>-0.8</v>
      </c>
      <c r="H16" s="388">
        <f t="shared" si="0"/>
        <v>16.666666666666668</v>
      </c>
      <c r="I16" s="388">
        <f t="shared" si="1"/>
        <v>-38.095238095238095</v>
      </c>
      <c r="K16" s="384" t="s">
        <v>1007</v>
      </c>
      <c r="L16" s="388">
        <f t="shared" ref="L16:O18" si="6">F16</f>
        <v>0.35</v>
      </c>
      <c r="M16" s="388">
        <f t="shared" si="6"/>
        <v>-0.8</v>
      </c>
      <c r="N16" s="388">
        <f t="shared" si="6"/>
        <v>16.666666666666668</v>
      </c>
      <c r="O16" s="388">
        <f t="shared" si="6"/>
        <v>-38.095238095238095</v>
      </c>
    </row>
    <row r="17" spans="3:15" x14ac:dyDescent="0.25">
      <c r="E17" s="384" t="s">
        <v>1008</v>
      </c>
      <c r="F17" s="385">
        <f>-F2</f>
        <v>0.35</v>
      </c>
      <c r="G17" s="385">
        <f>G2</f>
        <v>-1.05</v>
      </c>
      <c r="H17" s="385">
        <f t="shared" si="0"/>
        <v>16.666666666666668</v>
      </c>
      <c r="I17" s="385">
        <f t="shared" si="1"/>
        <v>-50</v>
      </c>
      <c r="K17" s="384" t="s">
        <v>1008</v>
      </c>
      <c r="L17" s="385">
        <f t="shared" si="6"/>
        <v>0.35</v>
      </c>
      <c r="M17" s="385">
        <f t="shared" si="6"/>
        <v>-1.05</v>
      </c>
      <c r="N17" s="385">
        <f t="shared" si="6"/>
        <v>16.666666666666668</v>
      </c>
      <c r="O17" s="385">
        <f t="shared" si="6"/>
        <v>-50</v>
      </c>
    </row>
    <row r="18" spans="3:15" x14ac:dyDescent="0.25">
      <c r="E18" s="384" t="s">
        <v>1009</v>
      </c>
      <c r="F18" s="388">
        <f>F2</f>
        <v>-0.35</v>
      </c>
      <c r="G18" s="388">
        <f>G2</f>
        <v>-1.05</v>
      </c>
      <c r="H18" s="388">
        <f t="shared" si="0"/>
        <v>-16.666666666666668</v>
      </c>
      <c r="I18" s="388">
        <f t="shared" si="1"/>
        <v>-50</v>
      </c>
      <c r="K18" s="384" t="s">
        <v>1009</v>
      </c>
      <c r="L18" s="388">
        <f t="shared" si="6"/>
        <v>-0.35</v>
      </c>
      <c r="M18" s="388">
        <f t="shared" si="6"/>
        <v>-1.05</v>
      </c>
      <c r="N18" s="388">
        <f t="shared" si="6"/>
        <v>-16.666666666666668</v>
      </c>
      <c r="O18" s="388">
        <f t="shared" si="6"/>
        <v>-50</v>
      </c>
    </row>
    <row r="19" spans="3:15" x14ac:dyDescent="0.25">
      <c r="F19" s="389"/>
      <c r="G19" s="389"/>
      <c r="K19" s="413" t="s">
        <v>1104</v>
      </c>
      <c r="L19" s="388">
        <f>L4</f>
        <v>-0.32</v>
      </c>
      <c r="M19" s="388">
        <f>M4</f>
        <v>-0.77</v>
      </c>
      <c r="N19" s="388">
        <f>$F$21/$F$20*L19</f>
        <v>-15.238095238095239</v>
      </c>
      <c r="O19" s="388">
        <f>$F$21/$F$20*M19</f>
        <v>-36.666666666666671</v>
      </c>
    </row>
    <row r="20" spans="3:15" x14ac:dyDescent="0.25">
      <c r="C20" s="389"/>
      <c r="E20" s="387" t="s">
        <v>1011</v>
      </c>
      <c r="F20" s="389">
        <f>MAX(F2:G18,ABS(MIN(F2:G18)))</f>
        <v>1.05</v>
      </c>
      <c r="G20" s="389"/>
      <c r="K20" s="413" t="s">
        <v>611</v>
      </c>
      <c r="L20" s="385">
        <f t="shared" ref="L20:O21" si="7">F4</f>
        <v>-0.1</v>
      </c>
      <c r="M20" s="385">
        <f t="shared" si="7"/>
        <v>-0.55000000000000004</v>
      </c>
      <c r="N20" s="385">
        <f t="shared" si="7"/>
        <v>-4.7619047619047619</v>
      </c>
      <c r="O20" s="385">
        <f t="shared" si="7"/>
        <v>-26.190476190476193</v>
      </c>
    </row>
    <row r="21" spans="3:15" x14ac:dyDescent="0.25">
      <c r="E21" s="387" t="s">
        <v>1012</v>
      </c>
      <c r="F21">
        <v>50</v>
      </c>
      <c r="K21" s="413" t="s">
        <v>178</v>
      </c>
      <c r="L21" s="388">
        <f t="shared" si="7"/>
        <v>-0.1</v>
      </c>
      <c r="M21" s="388">
        <f t="shared" si="7"/>
        <v>0.73000000000000009</v>
      </c>
      <c r="N21" s="388">
        <f t="shared" si="7"/>
        <v>-4.7619047619047619</v>
      </c>
      <c r="O21" s="388">
        <f t="shared" si="7"/>
        <v>34.761904761904766</v>
      </c>
    </row>
    <row r="22" spans="3:15" x14ac:dyDescent="0.25">
      <c r="K22" s="413" t="s">
        <v>1105</v>
      </c>
      <c r="L22" s="385">
        <f>L5</f>
        <v>-0.32</v>
      </c>
      <c r="M22" s="385">
        <f>M5</f>
        <v>0.81800000000000006</v>
      </c>
      <c r="N22" s="385">
        <f>$F$21/$F$20*L22</f>
        <v>-15.238095238095239</v>
      </c>
      <c r="O22" s="385">
        <f>$F$21/$F$20*M22</f>
        <v>38.952380952380956</v>
      </c>
    </row>
    <row r="23" spans="3:15" x14ac:dyDescent="0.25">
      <c r="K23" s="414" t="s">
        <v>1106</v>
      </c>
      <c r="L23" s="388">
        <f>L14</f>
        <v>0.32</v>
      </c>
      <c r="M23" s="388">
        <f>M14</f>
        <v>0.81800000000000006</v>
      </c>
      <c r="N23" s="388">
        <f>$F$21/$F$20*L23</f>
        <v>15.238095238095239</v>
      </c>
      <c r="O23" s="388">
        <f>$F$21/$F$20*M23</f>
        <v>38.952380952380956</v>
      </c>
    </row>
    <row r="24" spans="3:15" x14ac:dyDescent="0.25">
      <c r="K24" s="414" t="s">
        <v>1006</v>
      </c>
      <c r="L24" s="385">
        <f t="shared" ref="L24:O25" si="8">F14</f>
        <v>0.1</v>
      </c>
      <c r="M24" s="385">
        <f t="shared" si="8"/>
        <v>0.73000000000000009</v>
      </c>
      <c r="N24" s="385">
        <f t="shared" si="8"/>
        <v>4.7619047619047619</v>
      </c>
      <c r="O24" s="385">
        <f t="shared" si="8"/>
        <v>34.761904761904766</v>
      </c>
    </row>
    <row r="25" spans="3:15" x14ac:dyDescent="0.25">
      <c r="K25" s="414" t="s">
        <v>1010</v>
      </c>
      <c r="L25" s="388">
        <f t="shared" si="8"/>
        <v>0.1</v>
      </c>
      <c r="M25" s="388">
        <f t="shared" si="8"/>
        <v>-0.55000000000000004</v>
      </c>
      <c r="N25" s="388">
        <f t="shared" si="8"/>
        <v>4.7619047619047619</v>
      </c>
      <c r="O25" s="388">
        <f t="shared" si="8"/>
        <v>-26.190476190476193</v>
      </c>
    </row>
    <row r="26" spans="3:15" x14ac:dyDescent="0.25">
      <c r="K26" s="414" t="s">
        <v>1107</v>
      </c>
      <c r="L26" s="385">
        <f>L15</f>
        <v>0.32</v>
      </c>
      <c r="M26" s="385">
        <f>M15</f>
        <v>-0.77</v>
      </c>
      <c r="N26" s="385">
        <f>$F$21/$F$20*L26</f>
        <v>15.238095238095239</v>
      </c>
      <c r="O26" s="385">
        <f>$F$21/$F$20*M26</f>
        <v>-36.666666666666671</v>
      </c>
    </row>
    <row r="27" spans="3:15" x14ac:dyDescent="0.25">
      <c r="D27" s="389"/>
    </row>
    <row r="28" spans="3:15" ht="45" x14ac:dyDescent="0.25">
      <c r="F28" s="408" t="s">
        <v>201</v>
      </c>
      <c r="G28" s="409" t="s">
        <v>202</v>
      </c>
      <c r="H28" s="410" t="s">
        <v>1108</v>
      </c>
      <c r="I28" s="408" t="s">
        <v>201</v>
      </c>
      <c r="J28" s="409" t="s">
        <v>987</v>
      </c>
      <c r="K28" s="410" t="s">
        <v>1109</v>
      </c>
      <c r="L28" s="410" t="s">
        <v>1110</v>
      </c>
    </row>
    <row r="29" spans="3:15" x14ac:dyDescent="0.25">
      <c r="F29" s="408"/>
      <c r="G29" s="410" t="s">
        <v>624</v>
      </c>
      <c r="H29" s="410" t="s">
        <v>46</v>
      </c>
      <c r="I29" s="408"/>
      <c r="J29" s="411">
        <f>'Process (2)'!T269</f>
        <v>20</v>
      </c>
      <c r="K29" s="410" t="s">
        <v>46</v>
      </c>
      <c r="L29" s="410" t="s">
        <v>46</v>
      </c>
    </row>
    <row r="30" spans="3:15" x14ac:dyDescent="0.25">
      <c r="F30" s="13">
        <f>'Process (2)'!P270</f>
        <v>1</v>
      </c>
      <c r="G30" s="29" t="str">
        <f>'Process (2)'!Q270</f>
        <v>z1' = a' + 3 * yd'</v>
      </c>
      <c r="H30" s="6">
        <f>'Process (2)'!R270</f>
        <v>1.74</v>
      </c>
      <c r="I30" s="13">
        <f>'Process (2)'!S270</f>
        <v>1</v>
      </c>
      <c r="J30" s="29" t="str">
        <f>'Process (2)'!T270</f>
        <v>z1 = a + yd</v>
      </c>
      <c r="K30" s="207">
        <f>'Process (2)'!U270</f>
        <v>0.41000000000000003</v>
      </c>
      <c r="L30" s="207">
        <f>'Process (2)'!V270</f>
        <v>1.33</v>
      </c>
    </row>
    <row r="31" spans="3:15" x14ac:dyDescent="0.25">
      <c r="F31" s="13">
        <f>'Process (2)'!P271</f>
        <v>2</v>
      </c>
      <c r="G31" s="29" t="str">
        <f>'Process (2)'!Q271</f>
        <v>z2' = a' + 2 * yd'</v>
      </c>
      <c r="H31" s="6">
        <f>'Process (2)'!R271</f>
        <v>1.31</v>
      </c>
      <c r="I31" s="13">
        <f>'Process (2)'!S271</f>
        <v>2</v>
      </c>
      <c r="J31" s="29" t="str">
        <f>'Process (2)'!T271</f>
        <v>z2 = a</v>
      </c>
      <c r="K31" s="207">
        <f>'Process (2)'!U271</f>
        <v>0.16</v>
      </c>
      <c r="L31" s="207">
        <f>'Process (2)'!V271</f>
        <v>1.1500000000000001</v>
      </c>
    </row>
    <row r="32" spans="3:15" x14ac:dyDescent="0.25">
      <c r="F32" s="13">
        <f>'Process (2)'!P272</f>
        <v>3</v>
      </c>
      <c r="G32" s="29" t="str">
        <f>'Process (2)'!Q272</f>
        <v>z3' = a' + yd'</v>
      </c>
      <c r="H32" s="6">
        <f>'Process (2)'!R272</f>
        <v>0.88</v>
      </c>
      <c r="I32" s="13">
        <f>'Process (2)'!S272</f>
        <v>3</v>
      </c>
      <c r="J32" s="29" t="str">
        <f>'Process (2)'!T272</f>
        <v>z3 = a</v>
      </c>
      <c r="K32" s="207">
        <f>'Process (2)'!U272</f>
        <v>0.16</v>
      </c>
      <c r="L32" s="6">
        <f>'Process (2)'!V272</f>
        <v>0.72</v>
      </c>
    </row>
    <row r="33" spans="1:25" x14ac:dyDescent="0.25">
      <c r="F33" s="13">
        <f>'Process (2)'!P273</f>
        <v>4</v>
      </c>
      <c r="G33" s="29" t="str">
        <f>'Process (2)'!Q273</f>
        <v>z4' = a'</v>
      </c>
      <c r="H33" s="6">
        <f>'Process (2)'!R273</f>
        <v>0.45</v>
      </c>
      <c r="I33" s="13">
        <f>'Process (2)'!S273</f>
        <v>4</v>
      </c>
      <c r="J33" s="29" t="str">
        <f>'Process (2)'!T273</f>
        <v>z4 = a</v>
      </c>
      <c r="K33" s="207">
        <f>'Process (2)'!U273</f>
        <v>0.16</v>
      </c>
      <c r="L33" s="6">
        <f>'Process (2)'!V273</f>
        <v>0.29000000000000004</v>
      </c>
    </row>
    <row r="34" spans="1:25" x14ac:dyDescent="0.25">
      <c r="F34" s="417"/>
      <c r="G34" s="418" t="s">
        <v>207</v>
      </c>
      <c r="H34" s="418" t="s">
        <v>208</v>
      </c>
      <c r="I34" s="418" t="s">
        <v>1102</v>
      </c>
      <c r="J34" s="418" t="s">
        <v>1103</v>
      </c>
    </row>
    <row r="35" spans="1:25" x14ac:dyDescent="0.25">
      <c r="F35" s="418">
        <f>F30</f>
        <v>1</v>
      </c>
      <c r="G35" s="70">
        <f>IF(F35="",70,0)</f>
        <v>0</v>
      </c>
      <c r="H35" s="70">
        <f>IF(F35="",70,$G$2+H30)</f>
        <v>0.69</v>
      </c>
      <c r="I35" s="416">
        <f t="shared" ref="I35:J38" si="9">$F$21/$F$20*G35</f>
        <v>0</v>
      </c>
      <c r="J35" s="416">
        <f t="shared" si="9"/>
        <v>32.857142857142854</v>
      </c>
    </row>
    <row r="36" spans="1:25" x14ac:dyDescent="0.25">
      <c r="A36" s="609" t="s">
        <v>44</v>
      </c>
      <c r="B36" s="381" t="s">
        <v>45</v>
      </c>
      <c r="C36" s="609" t="s">
        <v>44</v>
      </c>
      <c r="D36" s="381" t="s">
        <v>47</v>
      </c>
      <c r="F36" s="418">
        <f>F31</f>
        <v>2</v>
      </c>
      <c r="G36" s="70">
        <f>IF(F36="",70,0)</f>
        <v>0</v>
      </c>
      <c r="H36" s="70">
        <f>IF(F36="",70,$G$2+H31)</f>
        <v>0.26</v>
      </c>
      <c r="I36" s="416">
        <f t="shared" si="9"/>
        <v>0</v>
      </c>
      <c r="J36" s="416">
        <f t="shared" si="9"/>
        <v>12.380952380952381</v>
      </c>
    </row>
    <row r="37" spans="1:25" x14ac:dyDescent="0.25">
      <c r="A37" s="610"/>
      <c r="B37" s="382" t="s">
        <v>46</v>
      </c>
      <c r="C37" s="610"/>
      <c r="D37" s="382" t="s">
        <v>46</v>
      </c>
      <c r="F37" s="418">
        <f>F32</f>
        <v>3</v>
      </c>
      <c r="G37" s="70">
        <f>G39</f>
        <v>0</v>
      </c>
      <c r="H37" s="70">
        <f>IF(F37="",70,$G$2+H32)</f>
        <v>-0.17000000000000004</v>
      </c>
      <c r="I37" s="416">
        <f t="shared" si="9"/>
        <v>0</v>
      </c>
      <c r="J37" s="416">
        <f t="shared" si="9"/>
        <v>-8.0952380952380967</v>
      </c>
    </row>
    <row r="38" spans="1:25" x14ac:dyDescent="0.25">
      <c r="A38" s="13" t="s">
        <v>48</v>
      </c>
      <c r="B38" s="15">
        <f>'Process (2)'!F5</f>
        <v>0.64</v>
      </c>
      <c r="C38" s="13" t="s">
        <v>54</v>
      </c>
      <c r="D38" s="15">
        <f>'Process (2)'!H5</f>
        <v>7.0000000000000007E-2</v>
      </c>
      <c r="F38" s="418">
        <f>F33</f>
        <v>4</v>
      </c>
      <c r="G38" s="70">
        <f>-G37</f>
        <v>0</v>
      </c>
      <c r="H38" s="70">
        <f>IF(F38="",70,$G$2+H33)</f>
        <v>-0.60000000000000009</v>
      </c>
      <c r="I38" s="416">
        <f t="shared" si="9"/>
        <v>0</v>
      </c>
      <c r="J38" s="416">
        <f t="shared" si="9"/>
        <v>-28.571428571428577</v>
      </c>
    </row>
    <row r="39" spans="1:25" x14ac:dyDescent="0.25">
      <c r="A39" s="13" t="s">
        <v>49</v>
      </c>
      <c r="B39" s="15">
        <f>'Process (2)'!F6</f>
        <v>0.8</v>
      </c>
      <c r="C39" s="13" t="s">
        <v>55</v>
      </c>
      <c r="D39" s="15">
        <f>'Process (2)'!H6</f>
        <v>0.13</v>
      </c>
      <c r="F39" s="417"/>
      <c r="G39" s="51">
        <v>0</v>
      </c>
      <c r="H39" s="415"/>
      <c r="I39" s="415"/>
      <c r="J39" s="415"/>
    </row>
    <row r="40" spans="1:25" x14ac:dyDescent="0.25">
      <c r="A40" s="13" t="s">
        <v>50</v>
      </c>
      <c r="B40" s="15">
        <f>'Process (2)'!F7</f>
        <v>0.30000000000000004</v>
      </c>
      <c r="C40" s="13" t="s">
        <v>56</v>
      </c>
      <c r="D40" s="15">
        <f>'Process (2)'!H7</f>
        <v>0.12</v>
      </c>
      <c r="F40" s="417"/>
      <c r="G40" s="418" t="s">
        <v>207</v>
      </c>
      <c r="H40" s="418" t="s">
        <v>208</v>
      </c>
      <c r="I40" s="418" t="s">
        <v>1102</v>
      </c>
      <c r="J40" s="418" t="s">
        <v>1103</v>
      </c>
    </row>
    <row r="41" spans="1:25" x14ac:dyDescent="0.25">
      <c r="A41" s="13" t="s">
        <v>51</v>
      </c>
      <c r="B41" s="15">
        <f>'Process (2)'!F8</f>
        <v>0.2</v>
      </c>
      <c r="C41" s="13" t="s">
        <v>57</v>
      </c>
      <c r="D41" s="15">
        <f>'Process (2)'!H8</f>
        <v>1.6500000000000001</v>
      </c>
      <c r="F41" s="418">
        <f>I30</f>
        <v>1</v>
      </c>
      <c r="G41" s="70">
        <f>IF(F41="",70,0)</f>
        <v>0</v>
      </c>
      <c r="H41" s="70">
        <f>IF(F41="",70,$G$2+K30)</f>
        <v>-0.64</v>
      </c>
      <c r="I41" s="416">
        <f t="shared" ref="I41:J44" si="10">$F$21/$F$20*G41</f>
        <v>0</v>
      </c>
      <c r="J41" s="416">
        <f t="shared" si="10"/>
        <v>-30.476190476190478</v>
      </c>
    </row>
    <row r="42" spans="1:25" x14ac:dyDescent="0.25">
      <c r="A42" s="13" t="s">
        <v>52</v>
      </c>
      <c r="B42" s="15">
        <f>'Process (2)'!F9</f>
        <v>0.24999999999999997</v>
      </c>
      <c r="C42" s="13" t="s">
        <v>58</v>
      </c>
      <c r="D42" s="15">
        <f>'Process (2)'!H9</f>
        <v>0.25</v>
      </c>
      <c r="F42" s="418">
        <f>I31</f>
        <v>2</v>
      </c>
      <c r="G42" s="70">
        <f>IF(F42="",70,0)</f>
        <v>0</v>
      </c>
      <c r="H42" s="70">
        <f>IF(F42="",70,$G$2+K31)</f>
        <v>-0.89</v>
      </c>
      <c r="I42" s="416">
        <f t="shared" si="10"/>
        <v>0</v>
      </c>
      <c r="J42" s="416">
        <f t="shared" si="10"/>
        <v>-42.38095238095238</v>
      </c>
    </row>
    <row r="43" spans="1:25" x14ac:dyDescent="0.25">
      <c r="A43" s="13" t="s">
        <v>53</v>
      </c>
      <c r="B43" s="15">
        <f>'Process (2)'!F10</f>
        <v>0.7</v>
      </c>
      <c r="C43" s="13" t="s">
        <v>59</v>
      </c>
      <c r="D43" s="15">
        <f>'Process (2)'!H10</f>
        <v>0.25</v>
      </c>
      <c r="F43" s="418">
        <f>I32</f>
        <v>3</v>
      </c>
      <c r="G43" s="70">
        <f>G45</f>
        <v>0.2</v>
      </c>
      <c r="H43" s="70">
        <f>$G$2+K32</f>
        <v>-0.89</v>
      </c>
      <c r="I43" s="416">
        <f t="shared" si="10"/>
        <v>9.5238095238095237</v>
      </c>
      <c r="J43" s="416">
        <f t="shared" si="10"/>
        <v>-42.38095238095238</v>
      </c>
      <c r="K43" s="406"/>
    </row>
    <row r="44" spans="1:25" x14ac:dyDescent="0.25">
      <c r="A44" s="42"/>
      <c r="B44" s="42"/>
      <c r="C44" s="152" t="s">
        <v>60</v>
      </c>
      <c r="D44" s="140">
        <f>D38+D39+D41+D43</f>
        <v>2.1</v>
      </c>
      <c r="F44" s="418">
        <f>I33</f>
        <v>4</v>
      </c>
      <c r="G44" s="70">
        <f>-G43</f>
        <v>-0.2</v>
      </c>
      <c r="H44" s="70">
        <f>$G$2+K33</f>
        <v>-0.89</v>
      </c>
      <c r="I44" s="416">
        <f t="shared" si="10"/>
        <v>-9.5238095238095237</v>
      </c>
      <c r="J44" s="416">
        <f t="shared" si="10"/>
        <v>-42.38095238095238</v>
      </c>
      <c r="K44" s="406"/>
    </row>
    <row r="45" spans="1:25" x14ac:dyDescent="0.25">
      <c r="F45" s="417"/>
      <c r="G45" s="51">
        <f>IF(F42="",0,IF(F41="",0.15,0.2))</f>
        <v>0.2</v>
      </c>
      <c r="H45" s="415"/>
      <c r="I45" s="415"/>
      <c r="J45" s="415"/>
      <c r="K45" s="406"/>
      <c r="Y45" t="s">
        <v>1134</v>
      </c>
    </row>
    <row r="46" spans="1:25" x14ac:dyDescent="0.25">
      <c r="J46" s="406"/>
      <c r="O46" s="406"/>
    </row>
    <row r="47" spans="1:25" x14ac:dyDescent="0.25">
      <c r="J47" s="406"/>
      <c r="O47" s="406"/>
    </row>
    <row r="48" spans="1:25" x14ac:dyDescent="0.25">
      <c r="J48" s="406"/>
      <c r="O48" s="406"/>
    </row>
    <row r="49" spans="1:31" x14ac:dyDescent="0.25">
      <c r="A49" s="242" t="s">
        <v>664</v>
      </c>
      <c r="J49" s="406"/>
      <c r="O49" s="406"/>
      <c r="R49" s="242" t="s">
        <v>666</v>
      </c>
      <c r="AA49" s="406"/>
    </row>
    <row r="51" spans="1:31" x14ac:dyDescent="0.25">
      <c r="K51" s="406" t="s">
        <v>207</v>
      </c>
      <c r="L51" s="406" t="s">
        <v>208</v>
      </c>
      <c r="M51" s="406" t="s">
        <v>207</v>
      </c>
      <c r="N51" s="406" t="s">
        <v>208</v>
      </c>
      <c r="O51" s="406" t="s">
        <v>207</v>
      </c>
      <c r="P51" s="406" t="s">
        <v>208</v>
      </c>
    </row>
    <row r="52" spans="1:31" x14ac:dyDescent="0.25">
      <c r="K52" s="406">
        <f>B60+C60+5</f>
        <v>135</v>
      </c>
      <c r="L52" s="406">
        <v>0</v>
      </c>
      <c r="M52" s="406">
        <f>K52+C60</f>
        <v>215</v>
      </c>
      <c r="N52" s="406">
        <f>L52</f>
        <v>0</v>
      </c>
      <c r="O52" s="406">
        <f>M55+C60-5+10</f>
        <v>295</v>
      </c>
      <c r="P52" s="406">
        <v>2.5</v>
      </c>
    </row>
    <row r="53" spans="1:31" x14ac:dyDescent="0.25">
      <c r="K53" s="406">
        <f>K52-10</f>
        <v>125</v>
      </c>
      <c r="L53" s="406">
        <v>0</v>
      </c>
      <c r="M53" s="406">
        <f>K53+C60</f>
        <v>205</v>
      </c>
      <c r="N53" s="406">
        <f t="shared" ref="N53:N55" si="11">L53</f>
        <v>0</v>
      </c>
      <c r="O53" s="406">
        <f>O52+10</f>
        <v>305</v>
      </c>
      <c r="P53" s="406">
        <v>2.5</v>
      </c>
    </row>
    <row r="54" spans="1:31" x14ac:dyDescent="0.25">
      <c r="K54" s="406">
        <f>K52-5</f>
        <v>130</v>
      </c>
      <c r="L54" s="406">
        <v>5</v>
      </c>
      <c r="M54" s="406">
        <f>K54+C60</f>
        <v>210</v>
      </c>
      <c r="N54" s="406">
        <f t="shared" si="11"/>
        <v>5</v>
      </c>
      <c r="O54" s="406">
        <f>O52</f>
        <v>295</v>
      </c>
      <c r="P54" s="406">
        <v>-2.5</v>
      </c>
    </row>
    <row r="55" spans="1:31" x14ac:dyDescent="0.25">
      <c r="K55" s="406">
        <f>K54</f>
        <v>130</v>
      </c>
      <c r="L55" s="406">
        <f>-L54</f>
        <v>-5</v>
      </c>
      <c r="M55" s="406">
        <f>K55+C60</f>
        <v>210</v>
      </c>
      <c r="N55" s="406">
        <f t="shared" si="11"/>
        <v>-5</v>
      </c>
      <c r="O55" s="406">
        <f>O53</f>
        <v>305</v>
      </c>
      <c r="P55" s="406">
        <v>-2.5</v>
      </c>
    </row>
    <row r="60" spans="1:31" x14ac:dyDescent="0.25">
      <c r="A60" t="s">
        <v>1112</v>
      </c>
      <c r="B60" s="406">
        <v>50</v>
      </c>
      <c r="C60" s="406">
        <v>80</v>
      </c>
      <c r="D60" s="406">
        <v>0</v>
      </c>
      <c r="G60" s="608" t="s">
        <v>1115</v>
      </c>
      <c r="H60" s="608"/>
      <c r="I60" s="608" t="s">
        <v>1119</v>
      </c>
      <c r="J60" s="608"/>
      <c r="K60" s="608" t="s">
        <v>1121</v>
      </c>
      <c r="L60" s="608"/>
      <c r="M60" s="608" t="s">
        <v>1111</v>
      </c>
      <c r="N60" s="608"/>
      <c r="R60" t="s">
        <v>1112</v>
      </c>
      <c r="S60" s="406">
        <v>50</v>
      </c>
      <c r="T60" s="406">
        <v>80</v>
      </c>
      <c r="U60" s="406">
        <v>0</v>
      </c>
      <c r="X60" s="608" t="s">
        <v>1115</v>
      </c>
      <c r="Y60" s="608"/>
      <c r="Z60" s="608" t="s">
        <v>1119</v>
      </c>
      <c r="AA60" s="608"/>
      <c r="AB60" s="608" t="s">
        <v>1121</v>
      </c>
      <c r="AC60" s="608"/>
      <c r="AD60" s="608" t="s">
        <v>1111</v>
      </c>
      <c r="AE60" s="608"/>
    </row>
    <row r="61" spans="1:31" x14ac:dyDescent="0.25">
      <c r="F61" s="406"/>
      <c r="G61" s="406" t="s">
        <v>207</v>
      </c>
      <c r="H61" s="406" t="s">
        <v>208</v>
      </c>
      <c r="I61" s="406" t="s">
        <v>207</v>
      </c>
      <c r="J61" s="406" t="s">
        <v>208</v>
      </c>
      <c r="K61" s="406" t="s">
        <v>207</v>
      </c>
      <c r="L61" s="406" t="s">
        <v>208</v>
      </c>
      <c r="M61" s="406" t="s">
        <v>207</v>
      </c>
      <c r="N61" s="406" t="s">
        <v>208</v>
      </c>
      <c r="W61" s="406"/>
      <c r="X61" s="406" t="s">
        <v>207</v>
      </c>
      <c r="Y61" s="406" t="s">
        <v>208</v>
      </c>
      <c r="Z61" s="406" t="s">
        <v>207</v>
      </c>
      <c r="AA61" s="406" t="s">
        <v>208</v>
      </c>
      <c r="AB61" s="406" t="s">
        <v>207</v>
      </c>
      <c r="AC61" s="406" t="s">
        <v>208</v>
      </c>
      <c r="AD61" s="406" t="s">
        <v>207</v>
      </c>
      <c r="AE61" s="406" t="s">
        <v>208</v>
      </c>
    </row>
    <row r="62" spans="1:31" x14ac:dyDescent="0.25">
      <c r="A62" s="424" t="s">
        <v>1116</v>
      </c>
      <c r="B62" s="423" t="s">
        <v>1113</v>
      </c>
      <c r="C62" s="423" t="s">
        <v>1117</v>
      </c>
      <c r="D62" s="365" t="s">
        <v>1111</v>
      </c>
      <c r="F62" s="406">
        <v>1</v>
      </c>
      <c r="G62" s="406">
        <f>B60+0.5*C60</f>
        <v>90</v>
      </c>
      <c r="H62" s="406">
        <v>-50</v>
      </c>
      <c r="I62" s="406">
        <f>G62+C60</f>
        <v>170</v>
      </c>
      <c r="J62" s="406">
        <v>-50</v>
      </c>
      <c r="K62" s="406">
        <f>I62+C60+10</f>
        <v>260</v>
      </c>
      <c r="L62" s="406">
        <v>-50</v>
      </c>
      <c r="M62" s="406">
        <f>K62+C60+20</f>
        <v>360</v>
      </c>
      <c r="N62" s="406">
        <v>-50</v>
      </c>
      <c r="R62" s="424" t="s">
        <v>1123</v>
      </c>
      <c r="S62" s="423" t="s">
        <v>1113</v>
      </c>
      <c r="T62" s="423" t="s">
        <v>1117</v>
      </c>
      <c r="U62" s="365" t="s">
        <v>1111</v>
      </c>
      <c r="W62" s="406">
        <v>1</v>
      </c>
      <c r="X62" s="406">
        <f>S60+0.5*T60</f>
        <v>90</v>
      </c>
      <c r="Y62" s="406">
        <v>-50</v>
      </c>
      <c r="Z62" s="406">
        <f>X62+T60</f>
        <v>170</v>
      </c>
      <c r="AA62" s="406">
        <v>-50</v>
      </c>
      <c r="AB62" s="406">
        <f>Z62+T60+10</f>
        <v>260</v>
      </c>
      <c r="AC62" s="406">
        <v>-50</v>
      </c>
      <c r="AD62" s="406">
        <f>AB62+T60+20</f>
        <v>360</v>
      </c>
      <c r="AE62" s="406">
        <v>-50</v>
      </c>
    </row>
    <row r="63" spans="1:31" x14ac:dyDescent="0.25">
      <c r="A63" s="419">
        <f>-'Process (5)'!H22/'Process (5)'!H24/1000</f>
        <v>-13.167007431939611</v>
      </c>
      <c r="B63" s="420">
        <f>'Process (5)'!H22*'Process (5)'!H29/'Process (5)'!H27/1000</f>
        <v>21.138227343160896</v>
      </c>
      <c r="C63" s="419">
        <f>-'Process (5)'!H23/'Process (5)'!H27/1000</f>
        <v>-9.4905894612543023</v>
      </c>
      <c r="D63" s="419">
        <f>SUM(A63:C63)</f>
        <v>-1.5193695500330175</v>
      </c>
      <c r="F63" s="406">
        <v>2</v>
      </c>
      <c r="G63" s="406">
        <f>G62</f>
        <v>90</v>
      </c>
      <c r="H63" s="406">
        <v>50</v>
      </c>
      <c r="I63" s="406">
        <f>I62</f>
        <v>170</v>
      </c>
      <c r="J63" s="406">
        <v>50</v>
      </c>
      <c r="K63" s="406">
        <f>K62</f>
        <v>260</v>
      </c>
      <c r="L63" s="406">
        <v>50</v>
      </c>
      <c r="M63" s="406">
        <f>M62</f>
        <v>360</v>
      </c>
      <c r="N63" s="406">
        <v>50</v>
      </c>
      <c r="R63" s="419">
        <f>-'Process (5)'!H44/'Process (5)'!H45/1000</f>
        <v>-13.167007431939611</v>
      </c>
      <c r="S63" s="420">
        <f>'Process (5)'!H44*'Process (5)'!H50/'Process (5)'!H48/1000</f>
        <v>-0.85398438466370019</v>
      </c>
      <c r="T63" s="419">
        <v>0</v>
      </c>
      <c r="U63" s="419">
        <f>SUM(R63:T63)</f>
        <v>-14.020991816603312</v>
      </c>
      <c r="W63" s="406">
        <v>2</v>
      </c>
      <c r="X63" s="406">
        <f>X62</f>
        <v>90</v>
      </c>
      <c r="Y63" s="406">
        <v>50</v>
      </c>
      <c r="Z63" s="406">
        <f>Z62</f>
        <v>170</v>
      </c>
      <c r="AA63" s="406">
        <v>50</v>
      </c>
      <c r="AB63" s="406">
        <f>AB62</f>
        <v>260</v>
      </c>
      <c r="AC63" s="406">
        <v>50</v>
      </c>
      <c r="AD63" s="406">
        <f>AD62</f>
        <v>360</v>
      </c>
      <c r="AE63" s="406">
        <v>50</v>
      </c>
    </row>
    <row r="64" spans="1:31" x14ac:dyDescent="0.25">
      <c r="A64" s="419">
        <f>A63</f>
        <v>-13.167007431939611</v>
      </c>
      <c r="B64" s="420">
        <f>-'Process (5)'!H22*'Process (5)'!H29/'Process (5)'!H28/1000</f>
        <v>-19.659802445107413</v>
      </c>
      <c r="C64" s="419">
        <f>'Process (5)'!H23/'Process (5)'!H28/1000</f>
        <v>8.8268098770470171</v>
      </c>
      <c r="D64" s="419">
        <f>SUM(A64:C64)</f>
        <v>-24.000000000000007</v>
      </c>
      <c r="F64" s="406">
        <v>3</v>
      </c>
      <c r="G64" s="407">
        <f>G63+A63</f>
        <v>76.832992568060391</v>
      </c>
      <c r="H64" s="406">
        <v>50</v>
      </c>
      <c r="I64" s="407">
        <f>I63+B63</f>
        <v>191.13822734316091</v>
      </c>
      <c r="J64" s="406">
        <v>50</v>
      </c>
      <c r="K64" s="407">
        <f>K63+C63</f>
        <v>250.5094105387457</v>
      </c>
      <c r="L64" s="406">
        <v>50</v>
      </c>
      <c r="M64" s="407">
        <f>M63+D63</f>
        <v>358.48063044996701</v>
      </c>
      <c r="N64" s="406">
        <v>50</v>
      </c>
      <c r="R64" s="419">
        <f>R63</f>
        <v>-13.167007431939611</v>
      </c>
      <c r="S64" s="420">
        <f>-'Process (5)'!H44*'Process (5)'!H50/'Process (5)'!H49/1000</f>
        <v>0.79425601878233942</v>
      </c>
      <c r="T64" s="419">
        <v>0</v>
      </c>
      <c r="U64" s="419">
        <f>SUM(R64:T64)</f>
        <v>-12.372751413157271</v>
      </c>
      <c r="W64" s="406">
        <v>3</v>
      </c>
      <c r="X64" s="407">
        <f>X63+R63</f>
        <v>76.832992568060391</v>
      </c>
      <c r="Y64" s="406">
        <v>50</v>
      </c>
      <c r="Z64" s="407">
        <f>Z63+S63</f>
        <v>169.1460156153363</v>
      </c>
      <c r="AA64" s="406">
        <v>50</v>
      </c>
      <c r="AB64" s="407">
        <f>AB63+T63</f>
        <v>260</v>
      </c>
      <c r="AC64" s="406">
        <v>50</v>
      </c>
      <c r="AD64" s="407">
        <f>AD63+U63</f>
        <v>345.97900818339667</v>
      </c>
      <c r="AE64" s="406">
        <v>50</v>
      </c>
    </row>
    <row r="65" spans="1:31" x14ac:dyDescent="0.25">
      <c r="A65" s="424" t="s">
        <v>1116</v>
      </c>
      <c r="B65" s="423" t="s">
        <v>1114</v>
      </c>
      <c r="C65" s="423" t="s">
        <v>1118</v>
      </c>
      <c r="D65" s="421" t="s">
        <v>1111</v>
      </c>
      <c r="F65" s="406">
        <v>4</v>
      </c>
      <c r="G65" s="407">
        <f>G62+A64</f>
        <v>76.832992568060391</v>
      </c>
      <c r="H65" s="406">
        <v>-50</v>
      </c>
      <c r="I65" s="407">
        <f>I62+B64</f>
        <v>150.3401975548926</v>
      </c>
      <c r="J65" s="406">
        <v>-50</v>
      </c>
      <c r="K65" s="407">
        <f>K62+C64</f>
        <v>268.82680987704703</v>
      </c>
      <c r="L65" s="406">
        <v>-50</v>
      </c>
      <c r="M65" s="407">
        <f>M62+D64</f>
        <v>336</v>
      </c>
      <c r="N65" s="406">
        <v>-50</v>
      </c>
      <c r="R65" s="424" t="s">
        <v>1123</v>
      </c>
      <c r="S65" s="423" t="s">
        <v>1114</v>
      </c>
      <c r="T65" s="423" t="s">
        <v>1118</v>
      </c>
      <c r="U65" s="421" t="s">
        <v>1111</v>
      </c>
      <c r="W65" s="406">
        <v>4</v>
      </c>
      <c r="X65" s="407">
        <f>X62+R64</f>
        <v>76.832992568060391</v>
      </c>
      <c r="Y65" s="406">
        <v>-50</v>
      </c>
      <c r="Z65" s="407">
        <f>Z62+S64</f>
        <v>170.79425601878233</v>
      </c>
      <c r="AA65" s="406">
        <v>-50</v>
      </c>
      <c r="AB65" s="407">
        <f>AB62+T64</f>
        <v>260</v>
      </c>
      <c r="AC65" s="406">
        <v>-50</v>
      </c>
      <c r="AD65" s="407">
        <f>AD62+U64</f>
        <v>347.62724858684271</v>
      </c>
      <c r="AE65" s="406">
        <v>-50</v>
      </c>
    </row>
    <row r="66" spans="1:31" ht="14.25" customHeight="1" x14ac:dyDescent="0.25">
      <c r="F66" s="406">
        <v>5</v>
      </c>
      <c r="G66" s="406">
        <f>G62</f>
        <v>90</v>
      </c>
      <c r="H66" s="406">
        <v>-50</v>
      </c>
      <c r="I66" s="406">
        <f>I62</f>
        <v>170</v>
      </c>
      <c r="J66" s="406">
        <v>-50</v>
      </c>
      <c r="K66" s="406">
        <f>K62</f>
        <v>260</v>
      </c>
      <c r="L66" s="406">
        <v>-50</v>
      </c>
      <c r="M66" s="406">
        <f>M62</f>
        <v>360</v>
      </c>
      <c r="N66" s="406">
        <v>-50</v>
      </c>
      <c r="W66" s="406">
        <v>5</v>
      </c>
      <c r="X66" s="406">
        <f>X62</f>
        <v>90</v>
      </c>
      <c r="Y66" s="406">
        <v>-50</v>
      </c>
      <c r="Z66" s="406">
        <f>Z62</f>
        <v>170</v>
      </c>
      <c r="AA66" s="406">
        <v>-50</v>
      </c>
      <c r="AB66" s="406">
        <f>AB62</f>
        <v>260</v>
      </c>
      <c r="AC66" s="406">
        <v>-50</v>
      </c>
      <c r="AD66" s="406">
        <f>AD62</f>
        <v>360</v>
      </c>
      <c r="AE66" s="406">
        <v>-50</v>
      </c>
    </row>
    <row r="67" spans="1:31" x14ac:dyDescent="0.25">
      <c r="G67" s="608" t="s">
        <v>1115</v>
      </c>
      <c r="H67" s="608"/>
      <c r="I67" s="608" t="s">
        <v>1120</v>
      </c>
      <c r="J67" s="608"/>
      <c r="K67" s="608" t="s">
        <v>1122</v>
      </c>
      <c r="L67" s="608"/>
      <c r="M67" s="608" t="s">
        <v>1111</v>
      </c>
      <c r="N67" s="608"/>
      <c r="X67" s="608" t="s">
        <v>1115</v>
      </c>
      <c r="Y67" s="608"/>
      <c r="Z67" s="608" t="s">
        <v>1120</v>
      </c>
      <c r="AA67" s="608"/>
      <c r="AB67" s="608" t="s">
        <v>1122</v>
      </c>
      <c r="AC67" s="608"/>
      <c r="AD67" s="608" t="s">
        <v>1111</v>
      </c>
      <c r="AE67" s="608"/>
    </row>
    <row r="69" spans="1:31" x14ac:dyDescent="0.25">
      <c r="A69" s="242" t="s">
        <v>668</v>
      </c>
      <c r="J69" s="406"/>
      <c r="O69" s="406"/>
      <c r="R69" s="242" t="s">
        <v>668</v>
      </c>
      <c r="AA69" s="406"/>
    </row>
    <row r="80" spans="1:31" x14ac:dyDescent="0.25">
      <c r="A80" t="s">
        <v>1112</v>
      </c>
      <c r="B80" s="406">
        <v>50</v>
      </c>
      <c r="C80" s="406">
        <v>80</v>
      </c>
      <c r="D80" s="406">
        <v>0</v>
      </c>
      <c r="G80" s="608" t="s">
        <v>1115</v>
      </c>
      <c r="H80" s="608"/>
      <c r="I80" s="608" t="s">
        <v>1119</v>
      </c>
      <c r="J80" s="608"/>
      <c r="K80" s="608" t="s">
        <v>1121</v>
      </c>
      <c r="L80" s="608"/>
      <c r="M80" s="608" t="s">
        <v>1111</v>
      </c>
      <c r="N80" s="608"/>
      <c r="R80" t="s">
        <v>1112</v>
      </c>
      <c r="S80" s="406">
        <v>50</v>
      </c>
      <c r="T80" s="406">
        <v>80</v>
      </c>
      <c r="U80" s="406">
        <v>0</v>
      </c>
      <c r="X80" s="608" t="s">
        <v>1115</v>
      </c>
      <c r="Y80" s="608"/>
      <c r="Z80" s="608" t="s">
        <v>1119</v>
      </c>
      <c r="AA80" s="608"/>
      <c r="AB80" s="608" t="s">
        <v>1121</v>
      </c>
      <c r="AC80" s="608"/>
      <c r="AD80" s="608" t="s">
        <v>1111</v>
      </c>
      <c r="AE80" s="608"/>
    </row>
    <row r="81" spans="1:31" x14ac:dyDescent="0.25">
      <c r="F81" s="406"/>
      <c r="G81" s="406" t="s">
        <v>207</v>
      </c>
      <c r="H81" s="406" t="s">
        <v>208</v>
      </c>
      <c r="I81" s="406" t="s">
        <v>207</v>
      </c>
      <c r="J81" s="406" t="s">
        <v>208</v>
      </c>
      <c r="K81" s="406" t="s">
        <v>207</v>
      </c>
      <c r="L81" s="406" t="s">
        <v>208</v>
      </c>
      <c r="M81" s="406" t="s">
        <v>207</v>
      </c>
      <c r="N81" s="406" t="s">
        <v>208</v>
      </c>
      <c r="W81" s="406"/>
      <c r="X81" s="406" t="s">
        <v>207</v>
      </c>
      <c r="Y81" s="406" t="s">
        <v>208</v>
      </c>
      <c r="Z81" s="406" t="s">
        <v>207</v>
      </c>
      <c r="AA81" s="406" t="s">
        <v>208</v>
      </c>
      <c r="AB81" s="406" t="s">
        <v>207</v>
      </c>
      <c r="AC81" s="406" t="s">
        <v>208</v>
      </c>
      <c r="AD81" s="406" t="s">
        <v>207</v>
      </c>
      <c r="AE81" s="406" t="s">
        <v>208</v>
      </c>
    </row>
    <row r="82" spans="1:31" x14ac:dyDescent="0.25">
      <c r="A82" s="424" t="s">
        <v>1123</v>
      </c>
      <c r="B82" s="423" t="s">
        <v>1113</v>
      </c>
      <c r="C82" s="423" t="s">
        <v>1117</v>
      </c>
      <c r="D82" s="365" t="s">
        <v>1111</v>
      </c>
      <c r="F82" s="406">
        <v>1</v>
      </c>
      <c r="G82" s="406">
        <f>B80+0.5*C80</f>
        <v>90</v>
      </c>
      <c r="H82" s="406">
        <v>-50</v>
      </c>
      <c r="I82" s="406">
        <f>G82+C80</f>
        <v>170</v>
      </c>
      <c r="J82" s="406">
        <v>-50</v>
      </c>
      <c r="K82" s="406">
        <f>I82+C80+10</f>
        <v>260</v>
      </c>
      <c r="L82" s="406">
        <v>-50</v>
      </c>
      <c r="M82" s="406">
        <f>K82+C80+20</f>
        <v>360</v>
      </c>
      <c r="N82" s="406">
        <v>-50</v>
      </c>
      <c r="R82" s="424" t="s">
        <v>1123</v>
      </c>
      <c r="S82" s="423" t="s">
        <v>1113</v>
      </c>
      <c r="T82" s="423" t="s">
        <v>1117</v>
      </c>
      <c r="U82" s="365" t="s">
        <v>1111</v>
      </c>
      <c r="W82" s="406">
        <v>1</v>
      </c>
      <c r="X82" s="406">
        <f>S80+0.5*T80</f>
        <v>90</v>
      </c>
      <c r="Y82" s="406">
        <v>-50</v>
      </c>
      <c r="Z82" s="406">
        <f>X82+T80</f>
        <v>170</v>
      </c>
      <c r="AA82" s="406">
        <v>-50</v>
      </c>
      <c r="AB82" s="406">
        <f>Z82+T80+10</f>
        <v>260</v>
      </c>
      <c r="AC82" s="406">
        <v>-50</v>
      </c>
      <c r="AD82" s="406">
        <f>AB82+T80+20</f>
        <v>360</v>
      </c>
      <c r="AE82" s="406">
        <v>-50</v>
      </c>
    </row>
    <row r="83" spans="1:31" x14ac:dyDescent="0.25">
      <c r="A83" s="419">
        <f>-'Process (5)'!H64/'Process (5)'!H66/1000</f>
        <v>-10.074987205975868</v>
      </c>
      <c r="B83" s="420">
        <f>'Process (5)'!H64*'Process (5)'!H71/'Process (5)'!H69/1000</f>
        <v>16.174318358988227</v>
      </c>
      <c r="C83" s="419">
        <f>-'Process (5)'!H65/'Process (5)'!H69/1000</f>
        <v>-9.4905894612543023</v>
      </c>
      <c r="D83" s="419">
        <f>SUM(A83:C83)</f>
        <v>-3.3912583082419427</v>
      </c>
      <c r="F83" s="406">
        <v>2</v>
      </c>
      <c r="G83" s="406">
        <f>G82</f>
        <v>90</v>
      </c>
      <c r="H83" s="406">
        <v>50</v>
      </c>
      <c r="I83" s="406">
        <f>I82</f>
        <v>170</v>
      </c>
      <c r="J83" s="406">
        <v>50</v>
      </c>
      <c r="K83" s="406">
        <f>K82</f>
        <v>260</v>
      </c>
      <c r="L83" s="406">
        <v>50</v>
      </c>
      <c r="M83" s="406">
        <f>M82</f>
        <v>360</v>
      </c>
      <c r="N83" s="406">
        <v>50</v>
      </c>
      <c r="R83" s="419">
        <f>-'Process (5)'!H85/'Process (5)'!H86/1000</f>
        <v>-10.074987205975868</v>
      </c>
      <c r="S83" s="420">
        <f>'Process (5)'!H85*'Process (5)'!H91/'Process (5)'!H89/1000</f>
        <v>-0.65344246170312448</v>
      </c>
      <c r="T83" s="419">
        <v>0</v>
      </c>
      <c r="U83" s="419">
        <f>SUM(R83:T83)</f>
        <v>-10.728429667678991</v>
      </c>
      <c r="W83" s="406">
        <v>2</v>
      </c>
      <c r="X83" s="406">
        <f>X82</f>
        <v>90</v>
      </c>
      <c r="Y83" s="406">
        <v>50</v>
      </c>
      <c r="Z83" s="406">
        <f>Z82</f>
        <v>170</v>
      </c>
      <c r="AA83" s="406">
        <v>50</v>
      </c>
      <c r="AB83" s="406">
        <f>AB82</f>
        <v>260</v>
      </c>
      <c r="AC83" s="406">
        <v>50</v>
      </c>
      <c r="AD83" s="406">
        <f>AD82</f>
        <v>360</v>
      </c>
      <c r="AE83" s="406">
        <v>50</v>
      </c>
    </row>
    <row r="84" spans="1:31" x14ac:dyDescent="0.25">
      <c r="A84" s="419">
        <f>A83</f>
        <v>-10.074987205975868</v>
      </c>
      <c r="B84" s="420">
        <f>-'Process (5)'!H64*'Process (5)'!H71/'Process (5)'!H70/1000</f>
        <v>-15.04307331261926</v>
      </c>
      <c r="C84" s="419">
        <f>'Process (5)'!H65/'Process (5)'!H70/1000</f>
        <v>8.8268098770470171</v>
      </c>
      <c r="D84" s="419">
        <f>SUM(A84:C84)</f>
        <v>-16.29125064154811</v>
      </c>
      <c r="F84" s="406">
        <v>3</v>
      </c>
      <c r="G84" s="407">
        <f>G83+A83</f>
        <v>79.925012794024127</v>
      </c>
      <c r="H84" s="406">
        <v>50</v>
      </c>
      <c r="I84" s="407">
        <f>I83+B83</f>
        <v>186.17431835898822</v>
      </c>
      <c r="J84" s="406">
        <v>50</v>
      </c>
      <c r="K84" s="407">
        <f>K83+C83</f>
        <v>250.5094105387457</v>
      </c>
      <c r="L84" s="406">
        <v>50</v>
      </c>
      <c r="M84" s="407">
        <f>M83+D83</f>
        <v>356.60874169175804</v>
      </c>
      <c r="N84" s="406">
        <v>50</v>
      </c>
      <c r="R84" s="419">
        <f>R83</f>
        <v>-10.074987205975868</v>
      </c>
      <c r="S84" s="420">
        <f>-'Process (5)'!H85*'Process (5)'!H91/'Process (5)'!H90/1000</f>
        <v>0.60774016182981827</v>
      </c>
      <c r="T84" s="419">
        <v>0</v>
      </c>
      <c r="U84" s="419">
        <f>SUM(R84:T84)</f>
        <v>-9.467247044146049</v>
      </c>
      <c r="W84" s="406">
        <v>3</v>
      </c>
      <c r="X84" s="407">
        <f>X83+R83</f>
        <v>79.925012794024127</v>
      </c>
      <c r="Y84" s="406">
        <v>50</v>
      </c>
      <c r="Z84" s="407">
        <f>Z83+S83</f>
        <v>169.34655753829688</v>
      </c>
      <c r="AA84" s="406">
        <v>50</v>
      </c>
      <c r="AB84" s="407">
        <f>AB83+T83</f>
        <v>260</v>
      </c>
      <c r="AC84" s="406">
        <v>50</v>
      </c>
      <c r="AD84" s="407">
        <f>AD83+U83</f>
        <v>349.27157033232101</v>
      </c>
      <c r="AE84" s="406">
        <v>50</v>
      </c>
    </row>
    <row r="85" spans="1:31" x14ac:dyDescent="0.25">
      <c r="A85" s="424" t="s">
        <v>1123</v>
      </c>
      <c r="B85" s="423" t="s">
        <v>1114</v>
      </c>
      <c r="C85" s="423" t="s">
        <v>1118</v>
      </c>
      <c r="D85" s="421" t="s">
        <v>1111</v>
      </c>
      <c r="F85" s="406">
        <v>4</v>
      </c>
      <c r="G85" s="407">
        <f>G82+A84</f>
        <v>79.925012794024127</v>
      </c>
      <c r="H85" s="406">
        <v>-50</v>
      </c>
      <c r="I85" s="407">
        <f>I82+B84</f>
        <v>154.95692668738073</v>
      </c>
      <c r="J85" s="406">
        <v>-50</v>
      </c>
      <c r="K85" s="407">
        <f>K82+C84</f>
        <v>268.82680987704703</v>
      </c>
      <c r="L85" s="406">
        <v>-50</v>
      </c>
      <c r="M85" s="407">
        <f>M82+D84</f>
        <v>343.70874935845188</v>
      </c>
      <c r="N85" s="406">
        <v>-50</v>
      </c>
      <c r="R85" s="424" t="s">
        <v>1123</v>
      </c>
      <c r="S85" s="423" t="s">
        <v>1114</v>
      </c>
      <c r="T85" s="423" t="s">
        <v>1118</v>
      </c>
      <c r="U85" s="421" t="s">
        <v>1111</v>
      </c>
      <c r="W85" s="406">
        <v>4</v>
      </c>
      <c r="X85" s="407">
        <f>X82+R84</f>
        <v>79.925012794024127</v>
      </c>
      <c r="Y85" s="406">
        <v>-50</v>
      </c>
      <c r="Z85" s="407">
        <f>Z82+S84</f>
        <v>170.60774016182981</v>
      </c>
      <c r="AA85" s="406">
        <v>-50</v>
      </c>
      <c r="AB85" s="407">
        <f>AB82+T84</f>
        <v>260</v>
      </c>
      <c r="AC85" s="406">
        <v>-50</v>
      </c>
      <c r="AD85" s="407">
        <f>AD82+U84</f>
        <v>350.53275295585394</v>
      </c>
      <c r="AE85" s="406">
        <v>-50</v>
      </c>
    </row>
    <row r="86" spans="1:31" x14ac:dyDescent="0.25">
      <c r="F86" s="406">
        <v>5</v>
      </c>
      <c r="G86" s="406">
        <f>G82</f>
        <v>90</v>
      </c>
      <c r="H86" s="406">
        <v>-50</v>
      </c>
      <c r="I86" s="406">
        <f>I82</f>
        <v>170</v>
      </c>
      <c r="J86" s="406">
        <v>-50</v>
      </c>
      <c r="K86" s="406">
        <f>K82</f>
        <v>260</v>
      </c>
      <c r="L86" s="406">
        <v>-50</v>
      </c>
      <c r="M86" s="406">
        <f>M82</f>
        <v>360</v>
      </c>
      <c r="N86" s="406">
        <v>-50</v>
      </c>
      <c r="W86" s="406">
        <v>5</v>
      </c>
      <c r="X86" s="406">
        <f>X82</f>
        <v>90</v>
      </c>
      <c r="Y86" s="406">
        <v>-50</v>
      </c>
      <c r="Z86" s="406">
        <f>Z82</f>
        <v>170</v>
      </c>
      <c r="AA86" s="406">
        <v>-50</v>
      </c>
      <c r="AB86" s="406">
        <f>AB82</f>
        <v>260</v>
      </c>
      <c r="AC86" s="406">
        <v>-50</v>
      </c>
      <c r="AD86" s="406">
        <f>AD82</f>
        <v>360</v>
      </c>
      <c r="AE86" s="406">
        <v>-50</v>
      </c>
    </row>
    <row r="87" spans="1:31" x14ac:dyDescent="0.25">
      <c r="G87" s="608" t="s">
        <v>1115</v>
      </c>
      <c r="H87" s="608"/>
      <c r="I87" s="608" t="s">
        <v>1120</v>
      </c>
      <c r="J87" s="608"/>
      <c r="K87" s="608" t="s">
        <v>1122</v>
      </c>
      <c r="L87" s="608"/>
      <c r="M87" s="608" t="s">
        <v>1111</v>
      </c>
      <c r="N87" s="608"/>
      <c r="X87" s="608" t="s">
        <v>1115</v>
      </c>
      <c r="Y87" s="608"/>
      <c r="Z87" s="608" t="s">
        <v>1120</v>
      </c>
      <c r="AA87" s="608"/>
      <c r="AB87" s="608" t="s">
        <v>1122</v>
      </c>
      <c r="AC87" s="608"/>
      <c r="AD87" s="608" t="s">
        <v>1111</v>
      </c>
      <c r="AE87" s="608"/>
    </row>
    <row r="89" spans="1:31" x14ac:dyDescent="0.25">
      <c r="A89" s="242" t="s">
        <v>672</v>
      </c>
      <c r="J89" s="406"/>
      <c r="Z89" s="406"/>
    </row>
    <row r="100" spans="1:31" x14ac:dyDescent="0.25">
      <c r="A100" t="s">
        <v>1112</v>
      </c>
      <c r="B100" s="406">
        <v>50</v>
      </c>
      <c r="C100" s="406">
        <v>80</v>
      </c>
      <c r="D100" s="406">
        <v>0</v>
      </c>
      <c r="G100" s="608" t="s">
        <v>1115</v>
      </c>
      <c r="H100" s="608"/>
      <c r="I100" s="608" t="s">
        <v>1119</v>
      </c>
      <c r="J100" s="608"/>
      <c r="K100" s="608" t="s">
        <v>1121</v>
      </c>
      <c r="L100" s="608"/>
      <c r="M100" s="608" t="s">
        <v>1111</v>
      </c>
      <c r="N100" s="608"/>
      <c r="S100" s="406"/>
      <c r="T100" s="406"/>
      <c r="U100" s="406"/>
      <c r="X100" s="608"/>
      <c r="Y100" s="608"/>
      <c r="Z100" s="608"/>
      <c r="AA100" s="608"/>
      <c r="AB100" s="608"/>
      <c r="AC100" s="608"/>
      <c r="AD100" s="608"/>
      <c r="AE100" s="608"/>
    </row>
    <row r="101" spans="1:31" x14ac:dyDescent="0.25">
      <c r="F101" s="406"/>
      <c r="G101" s="406" t="s">
        <v>207</v>
      </c>
      <c r="H101" s="406" t="s">
        <v>208</v>
      </c>
      <c r="I101" s="406" t="s">
        <v>207</v>
      </c>
      <c r="J101" s="406" t="s">
        <v>208</v>
      </c>
      <c r="K101" s="406" t="s">
        <v>207</v>
      </c>
      <c r="L101" s="406" t="s">
        <v>208</v>
      </c>
      <c r="M101" s="406" t="s">
        <v>207</v>
      </c>
      <c r="N101" s="406" t="s">
        <v>208</v>
      </c>
      <c r="W101" s="406"/>
      <c r="X101" s="406"/>
      <c r="Y101" s="406"/>
      <c r="Z101" s="406"/>
      <c r="AA101" s="406"/>
      <c r="AB101" s="406"/>
      <c r="AC101" s="406"/>
      <c r="AD101" s="406"/>
      <c r="AE101" s="406"/>
    </row>
    <row r="102" spans="1:31" x14ac:dyDescent="0.25">
      <c r="A102" s="424" t="s">
        <v>1123</v>
      </c>
      <c r="B102" s="423" t="s">
        <v>1113</v>
      </c>
      <c r="C102" s="423" t="s">
        <v>1128</v>
      </c>
      <c r="D102" s="365" t="s">
        <v>1111</v>
      </c>
      <c r="F102" s="406">
        <v>1</v>
      </c>
      <c r="G102" s="406">
        <f>B100+0.5*C100</f>
        <v>90</v>
      </c>
      <c r="H102" s="406">
        <v>-50</v>
      </c>
      <c r="I102" s="406">
        <f>G102+C100</f>
        <v>170</v>
      </c>
      <c r="J102" s="406">
        <v>-50</v>
      </c>
      <c r="K102" s="406">
        <f>I102+C100+10</f>
        <v>260</v>
      </c>
      <c r="L102" s="406">
        <v>-50</v>
      </c>
      <c r="M102" s="406">
        <f>K102+C100+20</f>
        <v>360</v>
      </c>
      <c r="N102" s="406">
        <v>-50</v>
      </c>
      <c r="R102" s="424"/>
      <c r="S102" s="423"/>
      <c r="T102" s="423"/>
      <c r="U102" s="365"/>
      <c r="W102" s="406"/>
      <c r="X102" s="406"/>
      <c r="Y102" s="406"/>
      <c r="Z102" s="406"/>
      <c r="AA102" s="406"/>
      <c r="AB102" s="406"/>
      <c r="AC102" s="406"/>
      <c r="AD102" s="406"/>
      <c r="AE102" s="406"/>
    </row>
    <row r="103" spans="1:31" x14ac:dyDescent="0.25">
      <c r="A103" s="419">
        <f>-'Process (5)'!H105/'Process (5)'!H108/1000</f>
        <v>-10.074987205975868</v>
      </c>
      <c r="B103" s="420">
        <f>'Process (5)'!H105*'Process (5)'!H113/'Process (5)'!H111/1000</f>
        <v>16.174318358988227</v>
      </c>
      <c r="C103" s="419">
        <f>-('Process (5)'!H106+'Process (5)'!H107)/'Process (5)'!H111/1000</f>
        <v>-16.865570983318989</v>
      </c>
      <c r="D103" s="419">
        <f>SUM(A103:C103)</f>
        <v>-10.766239830306629</v>
      </c>
      <c r="F103" s="406">
        <v>2</v>
      </c>
      <c r="G103" s="406">
        <f>G102</f>
        <v>90</v>
      </c>
      <c r="H103" s="406">
        <v>50</v>
      </c>
      <c r="I103" s="406">
        <f>I102</f>
        <v>170</v>
      </c>
      <c r="J103" s="406">
        <v>50</v>
      </c>
      <c r="K103" s="406">
        <f>K102</f>
        <v>260</v>
      </c>
      <c r="L103" s="406">
        <v>50</v>
      </c>
      <c r="M103" s="406">
        <f>M102</f>
        <v>360</v>
      </c>
      <c r="N103" s="406">
        <v>50</v>
      </c>
      <c r="R103" s="419"/>
      <c r="S103" s="420"/>
      <c r="T103" s="419"/>
      <c r="U103" s="419"/>
      <c r="W103" s="406"/>
      <c r="X103" s="406"/>
      <c r="Y103" s="406"/>
      <c r="Z103" s="406"/>
      <c r="AA103" s="406"/>
      <c r="AB103" s="406"/>
      <c r="AC103" s="406"/>
      <c r="AD103" s="406"/>
      <c r="AE103" s="406"/>
    </row>
    <row r="104" spans="1:31" x14ac:dyDescent="0.25">
      <c r="A104" s="419">
        <f>A103</f>
        <v>-10.074987205975868</v>
      </c>
      <c r="B104" s="420">
        <f>-'Process (5)'!H105*'Process (5)'!H113/'Process (5)'!H112/1000</f>
        <v>-15.04307331261926</v>
      </c>
      <c r="C104" s="419">
        <f>('Process (5)'!H106+'Process (5)'!H107)/'Process (5)'!H112/1000</f>
        <v>15.685979163397791</v>
      </c>
      <c r="D104" s="419">
        <f>SUM(A104:C104)</f>
        <v>-9.4320813551973384</v>
      </c>
      <c r="F104" s="406">
        <v>3</v>
      </c>
      <c r="G104" s="407">
        <f>G103+A103</f>
        <v>79.925012794024127</v>
      </c>
      <c r="H104" s="406">
        <v>50</v>
      </c>
      <c r="I104" s="407">
        <f>I103+B103</f>
        <v>186.17431835898822</v>
      </c>
      <c r="J104" s="406">
        <v>50</v>
      </c>
      <c r="K104" s="407">
        <f>K103+C103</f>
        <v>243.134429016681</v>
      </c>
      <c r="L104" s="406">
        <v>50</v>
      </c>
      <c r="M104" s="407">
        <f>M103+D103</f>
        <v>349.23376016969337</v>
      </c>
      <c r="N104" s="406">
        <v>50</v>
      </c>
      <c r="R104" s="419"/>
      <c r="S104" s="420"/>
      <c r="T104" s="419"/>
      <c r="U104" s="419"/>
      <c r="W104" s="406"/>
      <c r="X104" s="407"/>
      <c r="Y104" s="406"/>
      <c r="Z104" s="407"/>
      <c r="AA104" s="406"/>
      <c r="AB104" s="407"/>
      <c r="AC104" s="406"/>
      <c r="AD104" s="407"/>
      <c r="AE104" s="406"/>
    </row>
    <row r="105" spans="1:31" x14ac:dyDescent="0.25">
      <c r="A105" s="424" t="s">
        <v>1123</v>
      </c>
      <c r="B105" s="423" t="s">
        <v>1114</v>
      </c>
      <c r="C105" s="423" t="s">
        <v>1129</v>
      </c>
      <c r="D105" s="421" t="s">
        <v>1111</v>
      </c>
      <c r="F105" s="406">
        <v>4</v>
      </c>
      <c r="G105" s="407">
        <f>G102+A104</f>
        <v>79.925012794024127</v>
      </c>
      <c r="H105" s="406">
        <v>-50</v>
      </c>
      <c r="I105" s="407">
        <f>I102+B104</f>
        <v>154.95692668738073</v>
      </c>
      <c r="J105" s="406">
        <v>-50</v>
      </c>
      <c r="K105" s="407">
        <f>K102+C104</f>
        <v>275.6859791633978</v>
      </c>
      <c r="L105" s="406">
        <v>-50</v>
      </c>
      <c r="M105" s="407">
        <f>M102+D104</f>
        <v>350.56791864480266</v>
      </c>
      <c r="N105" s="406">
        <v>-50</v>
      </c>
      <c r="R105" s="424"/>
      <c r="S105" s="423"/>
      <c r="T105" s="423"/>
      <c r="U105" s="421"/>
      <c r="W105" s="406"/>
      <c r="X105" s="407"/>
      <c r="Y105" s="406"/>
      <c r="Z105" s="407"/>
      <c r="AA105" s="406"/>
      <c r="AB105" s="407"/>
      <c r="AC105" s="406"/>
      <c r="AD105" s="407"/>
      <c r="AE105" s="406"/>
    </row>
    <row r="106" spans="1:31" x14ac:dyDescent="0.25">
      <c r="F106" s="406">
        <v>5</v>
      </c>
      <c r="G106" s="406">
        <f>G102</f>
        <v>90</v>
      </c>
      <c r="H106" s="406">
        <v>-50</v>
      </c>
      <c r="I106" s="406">
        <f>I102</f>
        <v>170</v>
      </c>
      <c r="J106" s="406">
        <v>-50</v>
      </c>
      <c r="K106" s="406">
        <f>K102</f>
        <v>260</v>
      </c>
      <c r="L106" s="406">
        <v>-50</v>
      </c>
      <c r="M106" s="406">
        <f>M102</f>
        <v>360</v>
      </c>
      <c r="N106" s="406">
        <v>-50</v>
      </c>
      <c r="W106" s="406"/>
      <c r="X106" s="406"/>
      <c r="Y106" s="406"/>
      <c r="Z106" s="406"/>
      <c r="AA106" s="406"/>
      <c r="AB106" s="406"/>
      <c r="AC106" s="406"/>
      <c r="AD106" s="406"/>
      <c r="AE106" s="406"/>
    </row>
    <row r="107" spans="1:31" x14ac:dyDescent="0.25">
      <c r="G107" s="608" t="s">
        <v>1115</v>
      </c>
      <c r="H107" s="608"/>
      <c r="I107" s="608" t="s">
        <v>1120</v>
      </c>
      <c r="J107" s="608"/>
      <c r="K107" s="608" t="s">
        <v>1122</v>
      </c>
      <c r="L107" s="608"/>
      <c r="M107" s="608" t="s">
        <v>1111</v>
      </c>
      <c r="N107" s="608"/>
      <c r="X107" s="608"/>
      <c r="Y107" s="608"/>
      <c r="Z107" s="608"/>
      <c r="AA107" s="608"/>
      <c r="AB107" s="608"/>
      <c r="AC107" s="608"/>
      <c r="AD107" s="608"/>
      <c r="AE107" s="608"/>
    </row>
    <row r="109" spans="1:31" x14ac:dyDescent="0.25">
      <c r="A109" s="242" t="s">
        <v>674</v>
      </c>
      <c r="J109" s="406"/>
      <c r="K109" s="406">
        <v>25</v>
      </c>
      <c r="L109" s="406"/>
      <c r="M109" s="406">
        <v>35</v>
      </c>
      <c r="N109" s="406"/>
      <c r="O109" s="406">
        <v>45</v>
      </c>
      <c r="P109" s="406"/>
    </row>
    <row r="110" spans="1:31" x14ac:dyDescent="0.25">
      <c r="K110" s="406" t="s">
        <v>207</v>
      </c>
      <c r="L110" s="406" t="s">
        <v>208</v>
      </c>
      <c r="M110" s="406" t="s">
        <v>207</v>
      </c>
      <c r="N110" s="406" t="s">
        <v>208</v>
      </c>
      <c r="O110" s="406" t="s">
        <v>207</v>
      </c>
      <c r="P110" s="406" t="s">
        <v>208</v>
      </c>
    </row>
    <row r="111" spans="1:31" x14ac:dyDescent="0.25">
      <c r="K111">
        <f>$K$109+K52</f>
        <v>160</v>
      </c>
      <c r="L111">
        <f>L52</f>
        <v>0</v>
      </c>
      <c r="M111">
        <f>$M$109+M52</f>
        <v>250</v>
      </c>
      <c r="N111">
        <f>L111</f>
        <v>0</v>
      </c>
      <c r="O111">
        <f>$O$109+O52</f>
        <v>340</v>
      </c>
      <c r="P111">
        <f>P52</f>
        <v>2.5</v>
      </c>
    </row>
    <row r="112" spans="1:31" x14ac:dyDescent="0.25">
      <c r="K112">
        <f t="shared" ref="K112:K114" si="12">$K$109+K53</f>
        <v>150</v>
      </c>
      <c r="L112">
        <f t="shared" ref="L112:L114" si="13">L53</f>
        <v>0</v>
      </c>
      <c r="M112">
        <f t="shared" ref="M112:M114" si="14">$M$109+M53</f>
        <v>240</v>
      </c>
      <c r="N112">
        <f t="shared" ref="N112:N114" si="15">L112</f>
        <v>0</v>
      </c>
      <c r="O112">
        <f t="shared" ref="O112:O114" si="16">$O$109+O53</f>
        <v>350</v>
      </c>
      <c r="P112">
        <f t="shared" ref="P112:P114" si="17">P53</f>
        <v>2.5</v>
      </c>
    </row>
    <row r="113" spans="1:16" x14ac:dyDescent="0.25">
      <c r="K113">
        <f t="shared" si="12"/>
        <v>155</v>
      </c>
      <c r="L113">
        <f t="shared" si="13"/>
        <v>5</v>
      </c>
      <c r="M113">
        <f t="shared" si="14"/>
        <v>245</v>
      </c>
      <c r="N113">
        <f t="shared" si="15"/>
        <v>5</v>
      </c>
      <c r="O113">
        <f t="shared" si="16"/>
        <v>340</v>
      </c>
      <c r="P113">
        <f t="shared" si="17"/>
        <v>-2.5</v>
      </c>
    </row>
    <row r="114" spans="1:16" x14ac:dyDescent="0.25">
      <c r="K114">
        <f t="shared" si="12"/>
        <v>155</v>
      </c>
      <c r="L114">
        <f t="shared" si="13"/>
        <v>-5</v>
      </c>
      <c r="M114">
        <f t="shared" si="14"/>
        <v>245</v>
      </c>
      <c r="N114">
        <f t="shared" si="15"/>
        <v>-5</v>
      </c>
      <c r="O114">
        <f t="shared" si="16"/>
        <v>350</v>
      </c>
      <c r="P114">
        <f t="shared" si="17"/>
        <v>-2.5</v>
      </c>
    </row>
    <row r="120" spans="1:16" x14ac:dyDescent="0.25">
      <c r="A120" t="s">
        <v>1112</v>
      </c>
      <c r="B120" s="406">
        <v>75</v>
      </c>
      <c r="C120" s="406">
        <v>80</v>
      </c>
      <c r="D120" s="406">
        <v>20</v>
      </c>
      <c r="E120" s="407">
        <f>MAX(A123:A124,B123:B126,C123:C126,ABS(MIN(A123:A124,B123:B126,C123:C126)))</f>
        <v>10.766239830306629</v>
      </c>
      <c r="G120" s="608" t="s">
        <v>1111</v>
      </c>
      <c r="H120" s="608"/>
      <c r="I120" s="608" t="s">
        <v>1130</v>
      </c>
      <c r="J120" s="608"/>
      <c r="K120" s="608" t="s">
        <v>1131</v>
      </c>
      <c r="L120" s="608"/>
      <c r="M120" s="608" t="s">
        <v>1111</v>
      </c>
      <c r="N120" s="608"/>
    </row>
    <row r="121" spans="1:16" x14ac:dyDescent="0.25">
      <c r="F121" s="406"/>
      <c r="G121" s="406" t="s">
        <v>207</v>
      </c>
      <c r="H121" s="406" t="s">
        <v>208</v>
      </c>
      <c r="I121" s="406" t="s">
        <v>207</v>
      </c>
      <c r="J121" s="406" t="s">
        <v>208</v>
      </c>
      <c r="K121" s="406" t="s">
        <v>207</v>
      </c>
      <c r="L121" s="406" t="s">
        <v>208</v>
      </c>
      <c r="M121" s="406" t="s">
        <v>207</v>
      </c>
      <c r="N121" s="406" t="s">
        <v>208</v>
      </c>
    </row>
    <row r="122" spans="1:16" x14ac:dyDescent="0.25">
      <c r="A122" s="365" t="s">
        <v>1111</v>
      </c>
      <c r="B122" s="429" t="s">
        <v>1132</v>
      </c>
      <c r="C122" s="429" t="s">
        <v>1133</v>
      </c>
      <c r="F122" s="406">
        <v>1</v>
      </c>
      <c r="I122" s="406">
        <f>G124+C120+10</f>
        <v>205</v>
      </c>
      <c r="J122" s="406">
        <v>-50</v>
      </c>
      <c r="K122" s="406">
        <f>I122+C120+10</f>
        <v>295</v>
      </c>
      <c r="L122" s="406">
        <v>-50</v>
      </c>
      <c r="M122" s="406">
        <f>K122+C120+40</f>
        <v>415</v>
      </c>
      <c r="N122" s="406">
        <v>-50</v>
      </c>
    </row>
    <row r="123" spans="1:16" x14ac:dyDescent="0.25">
      <c r="A123" s="419">
        <f>D103</f>
        <v>-10.766239830306629</v>
      </c>
      <c r="B123" s="407">
        <f>-'Input (2) &amp; Process (1)'!H169/'Process (5)'!H137/1000*'Process (2)'!H36</f>
        <v>-0.90982643123359275</v>
      </c>
      <c r="C123" s="407">
        <f>-0.8*'Input (2) &amp; Process (1)'!H170/'Process (5)'!H137/1000*'Process (2)'!H36</f>
        <v>-3.0589108714039455</v>
      </c>
      <c r="D123" s="430">
        <f>(B123+C123)</f>
        <v>-3.9687373026375381</v>
      </c>
      <c r="E123" s="430">
        <f>D123</f>
        <v>-3.9687373026375381</v>
      </c>
      <c r="F123" s="406">
        <v>2</v>
      </c>
      <c r="I123" s="406">
        <f>I122</f>
        <v>205</v>
      </c>
      <c r="J123" s="431">
        <f>U6</f>
        <v>61.904761904761905</v>
      </c>
      <c r="K123" s="406">
        <f>K122</f>
        <v>295</v>
      </c>
      <c r="L123" s="431">
        <f>J123</f>
        <v>61.904761904761905</v>
      </c>
      <c r="M123" s="406">
        <f>M122</f>
        <v>415</v>
      </c>
      <c r="N123" s="431">
        <f>L123</f>
        <v>61.904761904761905</v>
      </c>
    </row>
    <row r="124" spans="1:16" x14ac:dyDescent="0.25">
      <c r="A124" s="419">
        <f>D104</f>
        <v>-9.4320813551973384</v>
      </c>
      <c r="B124" s="407">
        <f>-'Input (2) &amp; Process (1)'!H169/'Process (5)'!H138*'Process (2)'!H36/1000</f>
        <v>-0.67537821828790423</v>
      </c>
      <c r="C124" s="407">
        <f>-0.8*'Input (2) &amp; Process (1)'!H170/'Process (5)'!H138*'Process (2)'!H36/1000</f>
        <v>-2.2706768052772519</v>
      </c>
      <c r="D124" s="430">
        <f>(B124+C124)</f>
        <v>-2.9460550235651564</v>
      </c>
      <c r="E124" s="430">
        <f>D124</f>
        <v>-2.9460550235651564</v>
      </c>
      <c r="F124" s="406">
        <v>3</v>
      </c>
      <c r="G124" s="406">
        <f>B120+0.5*C120</f>
        <v>115</v>
      </c>
      <c r="H124" s="406">
        <v>-50</v>
      </c>
      <c r="I124" s="407">
        <f>I123+B123*D120/E120</f>
        <v>203.30985293737845</v>
      </c>
      <c r="J124" s="431">
        <f>J123</f>
        <v>61.904761904761905</v>
      </c>
      <c r="K124" s="407">
        <f>K123+C123*D120/E120</f>
        <v>289.31758734782557</v>
      </c>
      <c r="L124" s="431">
        <f>L123</f>
        <v>61.904761904761905</v>
      </c>
      <c r="M124" s="407">
        <f>M123+(D123)*D120/E120*'Process (2)'!H36</f>
        <v>409.78030850223286</v>
      </c>
      <c r="N124" s="431">
        <f>N123</f>
        <v>61.904761904761905</v>
      </c>
    </row>
    <row r="125" spans="1:16" x14ac:dyDescent="0.25">
      <c r="A125" s="421" t="s">
        <v>1111</v>
      </c>
      <c r="B125" s="407">
        <f>-'Input (2) &amp; Process (1)'!H169/'Process (5)'!H138/1000</f>
        <v>-0.95393880012450782</v>
      </c>
      <c r="C125" s="407">
        <f>-0.8*'Input (2) &amp; Process (1)'!H170/'Process (5)'!H138/1000</f>
        <v>-3.2072202633182343</v>
      </c>
      <c r="D125" s="430">
        <f>B125+C125</f>
        <v>-4.1611590634427422</v>
      </c>
      <c r="E125" s="430">
        <f>D125+A123</f>
        <v>-14.927398893749372</v>
      </c>
      <c r="F125" s="406">
        <v>4</v>
      </c>
      <c r="G125" s="406">
        <f>G124</f>
        <v>115</v>
      </c>
      <c r="H125" s="406">
        <v>50</v>
      </c>
      <c r="I125" s="407">
        <f>I123+B124*D120/E120</f>
        <v>203.74537771973695</v>
      </c>
      <c r="J125" s="406">
        <v>50</v>
      </c>
      <c r="K125" s="407">
        <f>K123+C124*D120/E120</f>
        <v>290.78185728524204</v>
      </c>
      <c r="L125" s="406">
        <v>50</v>
      </c>
      <c r="M125" s="407">
        <f>M123+(D124)*D120/E120*'Process (2)'!H36</f>
        <v>411.12534234799625</v>
      </c>
      <c r="N125" s="406">
        <v>50</v>
      </c>
    </row>
    <row r="126" spans="1:16" x14ac:dyDescent="0.25">
      <c r="B126" s="407">
        <f>+'Input (2) &amp; Process (1)'!H169/'Process (5)'!H139/1000</f>
        <v>1.8276932150919143</v>
      </c>
      <c r="C126" s="407">
        <f>0.8*'Input (2) &amp; Process (1)'!H170/'Process (5)'!H139/1000</f>
        <v>6.1448540659075368</v>
      </c>
      <c r="D126" s="430">
        <f t="shared" ref="D126" si="18">B126+C126</f>
        <v>7.9725472809994509</v>
      </c>
      <c r="E126" s="430">
        <f>D126+A124</f>
        <v>-1.4595340741978875</v>
      </c>
      <c r="F126" s="406">
        <v>5</v>
      </c>
      <c r="G126" s="407">
        <f>G125+A123*D120/E120</f>
        <v>95</v>
      </c>
      <c r="H126" s="406">
        <v>50</v>
      </c>
      <c r="I126" s="407">
        <f>I123+B125*D120/E120</f>
        <v>203.22790720779005</v>
      </c>
      <c r="J126" s="406">
        <v>50</v>
      </c>
      <c r="K126" s="407">
        <f>K123+C125*D120/E120</f>
        <v>289.04207910306809</v>
      </c>
      <c r="L126" s="406">
        <v>50</v>
      </c>
      <c r="M126" s="407">
        <f>M123+(A123+D125)*D120/E120</f>
        <v>387.26998631085809</v>
      </c>
      <c r="N126" s="406">
        <v>50</v>
      </c>
    </row>
    <row r="127" spans="1:16" x14ac:dyDescent="0.25">
      <c r="B127" s="429" t="s">
        <v>1132</v>
      </c>
      <c r="C127" s="429" t="s">
        <v>1133</v>
      </c>
      <c r="F127" s="406">
        <v>6</v>
      </c>
      <c r="G127" s="407">
        <f>G124+A124*D120/E120</f>
        <v>97.478411211598086</v>
      </c>
      <c r="H127" s="406">
        <v>-50</v>
      </c>
      <c r="I127" s="407">
        <f>I122+B126*D120/E120</f>
        <v>208.39523035692929</v>
      </c>
      <c r="J127" s="406">
        <v>-50</v>
      </c>
      <c r="K127" s="407">
        <f>K122+C126*D120/E120</f>
        <v>306.41504213682845</v>
      </c>
      <c r="L127" s="406">
        <v>-50</v>
      </c>
      <c r="M127" s="407">
        <f>M123+(A124+D126)*D120/E120</f>
        <v>412.28868370535582</v>
      </c>
      <c r="N127" s="406">
        <v>-50</v>
      </c>
    </row>
    <row r="128" spans="1:16" x14ac:dyDescent="0.25">
      <c r="F128" s="406">
        <v>7</v>
      </c>
      <c r="G128" s="406">
        <f>G124</f>
        <v>115</v>
      </c>
      <c r="H128" s="406">
        <v>-50</v>
      </c>
      <c r="I128" s="406">
        <f>I122</f>
        <v>205</v>
      </c>
      <c r="J128" s="406">
        <v>-50</v>
      </c>
      <c r="K128" s="406">
        <f>K122</f>
        <v>295</v>
      </c>
      <c r="L128" s="406">
        <v>-50</v>
      </c>
      <c r="M128" s="406">
        <f>M122</f>
        <v>415</v>
      </c>
      <c r="N128" s="406">
        <v>-50</v>
      </c>
    </row>
    <row r="129" spans="7:14" x14ac:dyDescent="0.25">
      <c r="G129" s="608" t="s">
        <v>1111</v>
      </c>
      <c r="H129" s="608"/>
      <c r="I129" s="608" t="s">
        <v>1122</v>
      </c>
      <c r="J129" s="608"/>
      <c r="K129" s="608" t="s">
        <v>1122</v>
      </c>
      <c r="L129" s="608"/>
      <c r="M129" s="608" t="s">
        <v>1111</v>
      </c>
      <c r="N129" s="608"/>
    </row>
  </sheetData>
  <mergeCells count="58">
    <mergeCell ref="G129:H129"/>
    <mergeCell ref="M129:N129"/>
    <mergeCell ref="I120:J120"/>
    <mergeCell ref="I129:J129"/>
    <mergeCell ref="K120:L120"/>
    <mergeCell ref="K129:L129"/>
    <mergeCell ref="Z107:AA107"/>
    <mergeCell ref="AB107:AC107"/>
    <mergeCell ref="AD107:AE107"/>
    <mergeCell ref="G120:H120"/>
    <mergeCell ref="M120:N120"/>
    <mergeCell ref="G107:H107"/>
    <mergeCell ref="I107:J107"/>
    <mergeCell ref="K107:L107"/>
    <mergeCell ref="M107:N107"/>
    <mergeCell ref="X100:Y100"/>
    <mergeCell ref="X107:Y107"/>
    <mergeCell ref="AD60:AE60"/>
    <mergeCell ref="A36:A37"/>
    <mergeCell ref="C36:C37"/>
    <mergeCell ref="G100:H100"/>
    <mergeCell ref="I100:J100"/>
    <mergeCell ref="K100:L100"/>
    <mergeCell ref="M100:N100"/>
    <mergeCell ref="Z100:AA100"/>
    <mergeCell ref="AB100:AC100"/>
    <mergeCell ref="AD100:AE100"/>
    <mergeCell ref="M60:N60"/>
    <mergeCell ref="M67:N67"/>
    <mergeCell ref="X60:Y60"/>
    <mergeCell ref="Z60:AA60"/>
    <mergeCell ref="AB60:AC60"/>
    <mergeCell ref="G60:H60"/>
    <mergeCell ref="G67:H67"/>
    <mergeCell ref="I60:J60"/>
    <mergeCell ref="I67:J67"/>
    <mergeCell ref="K60:L60"/>
    <mergeCell ref="K67:L67"/>
    <mergeCell ref="AD67:AE67"/>
    <mergeCell ref="G80:H80"/>
    <mergeCell ref="I80:J80"/>
    <mergeCell ref="K80:L80"/>
    <mergeCell ref="M80:N80"/>
    <mergeCell ref="Z80:AA80"/>
    <mergeCell ref="AB80:AC80"/>
    <mergeCell ref="AD80:AE80"/>
    <mergeCell ref="X80:Y80"/>
    <mergeCell ref="X67:Y67"/>
    <mergeCell ref="Z67:AA67"/>
    <mergeCell ref="AB67:AC67"/>
    <mergeCell ref="Z87:AA87"/>
    <mergeCell ref="AB87:AC87"/>
    <mergeCell ref="AD87:AE87"/>
    <mergeCell ref="G87:H87"/>
    <mergeCell ref="I87:J87"/>
    <mergeCell ref="K87:L87"/>
    <mergeCell ref="M87:N87"/>
    <mergeCell ref="X87:Y87"/>
  </mergeCells>
  <pageMargins left="0.7" right="0.7" top="0.75" bottom="0.75" header="0.3" footer="0.3"/>
  <pageSetup orientation="portrait" r:id="rId1"/>
  <ignoredErrors>
    <ignoredError sqref="F4:G10 J123:J124 L125 L124 K123:L123 K122:N122 K124 M123:N123 M124:N12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B9D0-2285-4695-9A08-2C3DA57BF0BD}">
  <sheetPr codeName="Sheet4"/>
  <dimension ref="A1:P92"/>
  <sheetViews>
    <sheetView showGridLines="0" zoomScale="85" zoomScaleNormal="85" workbookViewId="0">
      <selection activeCell="R95" sqref="R95"/>
    </sheetView>
  </sheetViews>
  <sheetFormatPr defaultColWidth="8.85546875" defaultRowHeight="19.149999999999999" customHeight="1" x14ac:dyDescent="0.25"/>
  <cols>
    <col min="1" max="1" width="4.42578125" style="383" bestFit="1" customWidth="1"/>
    <col min="2" max="2" width="18" style="1" bestFit="1" customWidth="1"/>
    <col min="3" max="7" width="9" style="1" customWidth="1"/>
    <col min="8" max="8" width="9" style="2" customWidth="1"/>
    <col min="9" max="9" width="9" style="3" customWidth="1"/>
    <col min="10" max="10" width="9" style="28" customWidth="1"/>
    <col min="11" max="13" width="9" style="1" customWidth="1"/>
    <col min="14" max="14" width="17.5703125" style="1" bestFit="1" customWidth="1"/>
    <col min="15" max="21" width="12.140625" style="1" customWidth="1"/>
    <col min="22" max="22" width="4.7109375" style="1" bestFit="1" customWidth="1"/>
    <col min="23" max="16384" width="8.85546875" style="1"/>
  </cols>
  <sheetData>
    <row r="1" spans="1:13" ht="19.149999999999999" customHeight="1" x14ac:dyDescent="0.25">
      <c r="A1" s="383" t="s">
        <v>569</v>
      </c>
      <c r="B1" s="87" t="s">
        <v>1027</v>
      </c>
      <c r="I1" s="9"/>
    </row>
    <row r="2" spans="1:13" ht="38.25" customHeight="1" x14ac:dyDescent="0.25">
      <c r="B2" s="611" t="s">
        <v>1028</v>
      </c>
      <c r="C2" s="611"/>
      <c r="D2" s="611"/>
      <c r="E2" s="611"/>
      <c r="F2" s="611"/>
      <c r="H2" s="2" t="s">
        <v>1029</v>
      </c>
      <c r="I2" s="391">
        <f>'Input (1)'!H93</f>
        <v>0.3</v>
      </c>
      <c r="J2" s="28" t="s">
        <v>1030</v>
      </c>
      <c r="K2" s="3"/>
      <c r="L2" s="3"/>
      <c r="M2" s="3"/>
    </row>
    <row r="3" spans="1:13" ht="48.75" customHeight="1" x14ac:dyDescent="0.25">
      <c r="B3" s="611" t="s">
        <v>1031</v>
      </c>
      <c r="C3" s="611"/>
      <c r="D3" s="611"/>
      <c r="E3" s="611"/>
      <c r="F3" s="611"/>
      <c r="G3" s="392"/>
      <c r="H3" s="2" t="s">
        <v>1032</v>
      </c>
      <c r="I3" s="391">
        <f>'Input (1)'!H94</f>
        <v>0.6</v>
      </c>
      <c r="J3" s="28" t="s">
        <v>1030</v>
      </c>
      <c r="K3" s="3"/>
      <c r="L3" s="3"/>
      <c r="M3" s="3"/>
    </row>
    <row r="4" spans="1:13" ht="48.75" customHeight="1" x14ac:dyDescent="0.25">
      <c r="B4" s="611" t="s">
        <v>1033</v>
      </c>
      <c r="C4" s="611"/>
      <c r="D4" s="611"/>
      <c r="E4" s="611"/>
      <c r="F4" s="611"/>
      <c r="G4" s="392"/>
      <c r="H4" s="2" t="s">
        <v>1034</v>
      </c>
      <c r="I4" s="391">
        <f>'Input (1)'!H95</f>
        <v>0.25</v>
      </c>
      <c r="J4" s="28" t="s">
        <v>1030</v>
      </c>
      <c r="K4" s="3"/>
      <c r="L4" s="3"/>
      <c r="M4" s="3"/>
    </row>
    <row r="5" spans="1:13" ht="15" x14ac:dyDescent="0.25">
      <c r="B5" s="116"/>
      <c r="C5" s="392"/>
      <c r="D5" s="392"/>
      <c r="E5" s="392"/>
      <c r="F5" s="392"/>
      <c r="G5" s="392"/>
      <c r="I5" s="393"/>
      <c r="J5" s="4"/>
    </row>
    <row r="6" spans="1:13" ht="15" x14ac:dyDescent="0.25">
      <c r="A6" s="383" t="s">
        <v>573</v>
      </c>
      <c r="B6" s="91" t="s">
        <v>1035</v>
      </c>
      <c r="C6" s="392"/>
      <c r="D6" s="392"/>
      <c r="E6" s="392"/>
      <c r="F6" s="392"/>
      <c r="G6" s="392"/>
      <c r="I6" s="9"/>
      <c r="J6" s="4"/>
    </row>
    <row r="7" spans="1:13" ht="15" x14ac:dyDescent="0.25">
      <c r="B7" s="1" t="s">
        <v>1036</v>
      </c>
      <c r="H7" s="614" t="s">
        <v>1037</v>
      </c>
      <c r="I7" s="615"/>
    </row>
    <row r="8" spans="1:13" ht="15" x14ac:dyDescent="0.25">
      <c r="B8" s="1" t="s">
        <v>1144</v>
      </c>
      <c r="H8" s="2" t="s">
        <v>1143</v>
      </c>
      <c r="I8" s="394">
        <f>'Input (2) &amp; Process (1)'!H141</f>
        <v>0.60866886255804664</v>
      </c>
      <c r="J8" s="28" t="s">
        <v>1026</v>
      </c>
    </row>
    <row r="9" spans="1:13" ht="15" x14ac:dyDescent="0.25">
      <c r="B9" s="116"/>
      <c r="C9" s="392"/>
      <c r="D9" s="392"/>
      <c r="E9" s="392"/>
      <c r="F9" s="392"/>
      <c r="G9" s="392"/>
      <c r="I9" s="9"/>
      <c r="J9" s="4"/>
    </row>
    <row r="10" spans="1:13" ht="15" x14ac:dyDescent="0.25">
      <c r="A10" s="383" t="s">
        <v>867</v>
      </c>
      <c r="B10" s="91" t="s">
        <v>1038</v>
      </c>
      <c r="C10" s="392"/>
      <c r="D10" s="392"/>
      <c r="E10" s="392"/>
      <c r="F10" s="392"/>
      <c r="G10" s="392"/>
      <c r="I10" s="9"/>
      <c r="J10" s="4"/>
    </row>
    <row r="11" spans="1:13" ht="15" x14ac:dyDescent="0.25">
      <c r="B11" s="1" t="s">
        <v>1039</v>
      </c>
      <c r="C11" s="392"/>
      <c r="D11" s="392"/>
      <c r="E11" s="392"/>
      <c r="F11" s="392"/>
      <c r="G11" s="392"/>
      <c r="I11" s="9"/>
      <c r="J11" s="4"/>
    </row>
    <row r="12" spans="1:13" ht="15" x14ac:dyDescent="0.25">
      <c r="E12" s="395" t="s">
        <v>1040</v>
      </c>
      <c r="F12" s="396" t="s">
        <v>1041</v>
      </c>
      <c r="G12" s="396" t="s">
        <v>1042</v>
      </c>
      <c r="H12" s="396" t="s">
        <v>1043</v>
      </c>
      <c r="I12" s="396" t="s">
        <v>1044</v>
      </c>
      <c r="J12" s="4"/>
    </row>
    <row r="13" spans="1:13" ht="18" x14ac:dyDescent="0.25">
      <c r="D13" s="2" t="s">
        <v>1045</v>
      </c>
      <c r="E13" s="67">
        <v>0.8</v>
      </c>
      <c r="F13" s="67">
        <v>1</v>
      </c>
      <c r="G13" s="67">
        <f>IF(I2&lt;=0.2,1.2,IF(I2&lt;0.3,(I2-0.3)/(0.2-0.3)*(1.2-1.1)+1.1,IF(I2=0.3,1.1,IF(I2&gt;0.3,1,"[ EROR ]"))))</f>
        <v>1.1000000000000001</v>
      </c>
      <c r="H13" s="204">
        <f>IF(I2&lt;=0.1,1.6,IF(I2&lt;0.2,(I2-0.2)/(0.1-0.2)*(1.6-1.4)+1.4,IF(I2=0.2,1.4,IF(I2&lt;0.3,(I2-0.3)/(0.2-0.3)*(1.4-1.2)+1.2,IF(I2=0.3,1.2,IF(I2&lt;0.4,(I2-0.4)/(0.3-0.4)*(1.2-1.1)+1.1,IF(I2=0.4,1.1,IF(I2&lt;0.5,(I2-0.5)/(0.4-0.5)*(1.1-1)+1,IF(I2&gt;=0.5,1,"[ EROR ]")))))))))</f>
        <v>1.2</v>
      </c>
      <c r="I13" s="204">
        <f>IF(I2&lt;=0.1,2.5,IF(I2&lt;0.2,(I2-0.2)/(0.1-0.2)*(2.5-1.7)+1.7,IF(I2=0.2,1.7,IF(I2&lt;0.3,(I2-0.3)/(0.2-0.3)*(1.7-1.2)+1.2,IF(I2=0.3,1.2,IF(I2&lt;0.4,(I2-0.4)/(0.3-0.4)*(1.2-0.9)+0.9,IF(I2&gt;=0.4,0.9,"[ EROR ]")))))))</f>
        <v>1.2</v>
      </c>
      <c r="J13" s="4"/>
    </row>
    <row r="14" spans="1:13" ht="15" x14ac:dyDescent="0.25">
      <c r="B14" s="116"/>
      <c r="C14" s="392"/>
      <c r="D14" s="392"/>
      <c r="E14" s="392"/>
      <c r="F14" s="392"/>
      <c r="G14" s="392"/>
      <c r="I14" s="9"/>
      <c r="J14" s="4"/>
    </row>
    <row r="15" spans="1:13" ht="15" x14ac:dyDescent="0.25">
      <c r="B15" s="1" t="s">
        <v>1046</v>
      </c>
      <c r="C15" s="392"/>
      <c r="D15" s="392"/>
      <c r="E15" s="392"/>
      <c r="F15" s="392"/>
      <c r="G15" s="392"/>
      <c r="I15" s="9"/>
      <c r="J15" s="4"/>
    </row>
    <row r="16" spans="1:13" ht="15" x14ac:dyDescent="0.25">
      <c r="C16" s="116"/>
      <c r="E16" s="395" t="s">
        <v>1040</v>
      </c>
      <c r="F16" s="396" t="s">
        <v>1041</v>
      </c>
      <c r="G16" s="396" t="s">
        <v>1042</v>
      </c>
      <c r="H16" s="396" t="s">
        <v>1043</v>
      </c>
      <c r="I16" s="396" t="s">
        <v>1044</v>
      </c>
      <c r="J16" s="4"/>
    </row>
    <row r="17" spans="1:14" ht="18" x14ac:dyDescent="0.25">
      <c r="D17" s="2" t="s">
        <v>1047</v>
      </c>
      <c r="E17" s="67">
        <v>0.8</v>
      </c>
      <c r="F17" s="67">
        <v>1</v>
      </c>
      <c r="G17" s="67">
        <f>IF(I3&lt;=0.25,1.2,IF(I3&lt;0.5,(I3-0.5)/(0.25-0.5)*(1.2-1.1)+1.1,IF(I3=0.5,1.1,IF(I3&gt;0.5,1,"[ EROR ]"))))</f>
        <v>1</v>
      </c>
      <c r="H17" s="204">
        <f>IF(I3&lt;=0.25,1.6,IF(I3&lt;0.5,(I3-0.5)/(0.25-0.5)*(1.6-1.4)+1.4,IF(I3=0.5,1.4,IF(I3&lt;0.75,(I3-0.75)/(0.5-0.75)*(1.4-1.2)+1.2,IF(I3=0.75,1.2,IF(I3&lt;0.1,(I3-1)/(0.75-1)*(1.2-1.1)+1.1,IF(I3=1,1.1,IF(I3&lt;1.25,(I3-1.25)/(1-1.25)*(1.1-1)+1,IF(I3&gt;=1.25,1,"[ EROR ]")))))))))</f>
        <v>1.3199999999999998</v>
      </c>
      <c r="I17" s="204">
        <f>IF(I3&lt;=0.25,2.5,IF(I3&lt;0.5,(I3-0.5)/(0.25-0.5)*(2.5-1.7)+1.7,IF(I3=0.5,1.7,IF(I3&lt;0.75,(I3-0.75)/(0.5-0.75)*(1.7-1.2)+1.2,IF(I3=0.75,1.2,IF(I3&lt;1,(I3-1)/(0.75-1)*(1.2-0.9)+0.9,IF(I3&gt;=1,0.9,"[ EROR ]")))))))</f>
        <v>1.5</v>
      </c>
      <c r="J17" s="4"/>
    </row>
    <row r="18" spans="1:14" ht="19.149999999999999" customHeight="1" x14ac:dyDescent="0.25">
      <c r="H18" s="1"/>
      <c r="I18" s="1"/>
    </row>
    <row r="19" spans="1:14" ht="19.149999999999999" customHeight="1" x14ac:dyDescent="0.25">
      <c r="B19" s="1" t="s">
        <v>1048</v>
      </c>
      <c r="H19" s="1"/>
      <c r="I19" s="1"/>
    </row>
    <row r="20" spans="1:14" ht="19.149999999999999" customHeight="1" x14ac:dyDescent="0.25">
      <c r="E20" s="395" t="s">
        <v>1040</v>
      </c>
      <c r="F20" s="396" t="s">
        <v>1041</v>
      </c>
      <c r="G20" s="396" t="s">
        <v>1042</v>
      </c>
      <c r="H20" s="396" t="s">
        <v>1043</v>
      </c>
      <c r="I20" s="396" t="s">
        <v>1044</v>
      </c>
    </row>
    <row r="21" spans="1:14" ht="19.149999999999999" customHeight="1" x14ac:dyDescent="0.25">
      <c r="D21" s="2" t="s">
        <v>1049</v>
      </c>
      <c r="E21" s="67">
        <v>0.8</v>
      </c>
      <c r="F21" s="67">
        <v>1</v>
      </c>
      <c r="G21" s="67">
        <f>IF(I4&lt;=0.1,1.6,IF(I4&lt;0.2,(I4-0.2)/(0.1-0.2)*(1.6-1.4)+1.4,IF(I4=0.2,1.4,IF(I4&lt;0.3,(I4-0.3)/(0.2-0.3)*(1.4-1.2)+1.2,IF(I4=0.3,1.2,IF(I4&lt;0.4,(I4-0.4)/(0.3-0.4)*(1.2-1.1)+1.1,IF(I4=0.4,1.1,IF(I4&lt;0.5,(I4-0.5)/(0.4-0.5)*(1.1-1)+1,IF(I4&gt;=0.5,1,"[ EROR ]")))))))))</f>
        <v>1.2999999999999998</v>
      </c>
      <c r="H21" s="204">
        <f>IF(I4&lt;=0.1,1.6,IF(I4&lt;0.2,(I4-0.2)/(0.1-0.2)*(1.6-1.4)+1.4,IF(I4=0.2,1.4,IF(I4&lt;0.3,(I4-0.3)/(0.2-0.3)*(1.4-1.2)+1.2,IF(I4=0.3,1.2,IF(I4&lt;0.4,(I4-0.4)/(0.3-0.4)*(1.2-1.1)+1.1,IF(I4=0.4,1.1,IF(I4&lt;0.5,(I4-0.5)/(0.4-0.5)*(1.1-1)+1,IF(I4&gt;=0.5,1,"[ EROR ]")))))))))</f>
        <v>1.2999999999999998</v>
      </c>
      <c r="I21" s="204">
        <f>IF(I4&lt;=0.1,1.6,IF(I4&lt;0.2,(I4-0.2)/(0.1-0.2)*(1.6-1.4)+1.4,IF(I4=0.2,1.4,IF(I4&lt;0.3,(I4-0.3)/(0.2-0.3)*(1.4-1.2)+1.2,IF(I4=0.3,1.2,IF(I4&lt;0.4,(I4-0.4)/(0.3-0.4)*(1.2-1.1)+1.1,IF(I4=0.4,1.1,IF(I4&lt;0.5,(I4-0.5)/(0.4-0.5)*(1.1-1)+1,IF(I4&gt;=0.5,1,"[ EROR ]")))))))))</f>
        <v>1.2999999999999998</v>
      </c>
    </row>
    <row r="22" spans="1:14" ht="19.149999999999999" customHeight="1" x14ac:dyDescent="0.25">
      <c r="H22" s="1"/>
      <c r="I22" s="1"/>
      <c r="N22" s="3"/>
    </row>
    <row r="23" spans="1:14" ht="19.149999999999999" customHeight="1" x14ac:dyDescent="0.25">
      <c r="A23" s="383" t="s">
        <v>868</v>
      </c>
      <c r="B23" s="91" t="s">
        <v>1050</v>
      </c>
      <c r="H23" s="1"/>
      <c r="I23" s="1"/>
      <c r="N23" s="3"/>
    </row>
    <row r="24" spans="1:14" ht="19.149999999999999" customHeight="1" x14ac:dyDescent="0.25">
      <c r="B24" s="1" t="s">
        <v>1051</v>
      </c>
    </row>
    <row r="25" spans="1:14" ht="19.149999999999999" customHeight="1" x14ac:dyDescent="0.25">
      <c r="E25" s="395" t="s">
        <v>1040</v>
      </c>
      <c r="F25" s="396" t="s">
        <v>1041</v>
      </c>
      <c r="G25" s="396" t="s">
        <v>1042</v>
      </c>
      <c r="H25" s="396" t="s">
        <v>1043</v>
      </c>
      <c r="I25" s="396" t="s">
        <v>1044</v>
      </c>
      <c r="J25" s="1"/>
    </row>
    <row r="26" spans="1:14" ht="19.149999999999999" customHeight="1" x14ac:dyDescent="0.25">
      <c r="D26" s="2" t="s">
        <v>1052</v>
      </c>
      <c r="E26" s="67">
        <f>E13*$I$2</f>
        <v>0.24</v>
      </c>
      <c r="F26" s="67">
        <f>F13*$I$2</f>
        <v>0.3</v>
      </c>
      <c r="G26" s="67">
        <f>G13*$I$2</f>
        <v>0.33</v>
      </c>
      <c r="H26" s="67">
        <f>H13*$I$2</f>
        <v>0.36</v>
      </c>
      <c r="I26" s="67">
        <f>I13*$I$2</f>
        <v>0.36</v>
      </c>
      <c r="J26" s="28" t="s">
        <v>1030</v>
      </c>
    </row>
    <row r="27" spans="1:14" ht="19.149999999999999" customHeight="1" x14ac:dyDescent="0.25">
      <c r="C27" s="2"/>
      <c r="D27" s="9"/>
      <c r="I27" s="9"/>
    </row>
    <row r="28" spans="1:14" ht="19.149999999999999" customHeight="1" x14ac:dyDescent="0.25">
      <c r="B28" s="1" t="s">
        <v>1053</v>
      </c>
      <c r="C28" s="205"/>
      <c r="D28" s="205"/>
      <c r="E28" s="205"/>
      <c r="F28" s="205"/>
      <c r="G28" s="205"/>
      <c r="H28" s="1"/>
      <c r="I28" s="1"/>
      <c r="J28" s="1"/>
    </row>
    <row r="29" spans="1:14" ht="19.149999999999999" customHeight="1" x14ac:dyDescent="0.25">
      <c r="D29" s="205"/>
      <c r="E29" s="395" t="s">
        <v>1040</v>
      </c>
      <c r="F29" s="396" t="s">
        <v>1041</v>
      </c>
      <c r="G29" s="396" t="s">
        <v>1042</v>
      </c>
      <c r="H29" s="396" t="s">
        <v>1043</v>
      </c>
      <c r="I29" s="396" t="s">
        <v>1044</v>
      </c>
      <c r="J29" s="397"/>
    </row>
    <row r="30" spans="1:14" ht="19.149999999999999" customHeight="1" x14ac:dyDescent="0.25">
      <c r="D30" s="2" t="s">
        <v>1054</v>
      </c>
      <c r="E30" s="67">
        <f>E17*$I$3</f>
        <v>0.48</v>
      </c>
      <c r="F30" s="67">
        <f>F17*$I$3</f>
        <v>0.6</v>
      </c>
      <c r="G30" s="67">
        <f>G17*$I$3</f>
        <v>0.6</v>
      </c>
      <c r="H30" s="67">
        <f>H17*$I$3</f>
        <v>0.79199999999999993</v>
      </c>
      <c r="I30" s="67">
        <f>I17*$I$3</f>
        <v>0.89999999999999991</v>
      </c>
      <c r="J30" s="28" t="s">
        <v>1030</v>
      </c>
    </row>
    <row r="31" spans="1:14" ht="19.149999999999999" customHeight="1" x14ac:dyDescent="0.25">
      <c r="C31" s="2"/>
      <c r="D31" s="9"/>
      <c r="E31" s="9"/>
      <c r="F31" s="9"/>
      <c r="G31" s="9"/>
      <c r="H31" s="9"/>
      <c r="I31" s="28"/>
    </row>
    <row r="32" spans="1:14" ht="19.149999999999999" customHeight="1" x14ac:dyDescent="0.25">
      <c r="B32" s="1" t="s">
        <v>1055</v>
      </c>
      <c r="H32" s="1"/>
      <c r="I32" s="1"/>
      <c r="J32" s="1"/>
    </row>
    <row r="33" spans="1:13" ht="19.149999999999999" customHeight="1" x14ac:dyDescent="0.25">
      <c r="E33" s="395" t="s">
        <v>1040</v>
      </c>
      <c r="F33" s="396" t="s">
        <v>1041</v>
      </c>
      <c r="G33" s="396" t="s">
        <v>1042</v>
      </c>
      <c r="H33" s="396" t="s">
        <v>1043</v>
      </c>
      <c r="I33" s="396" t="s">
        <v>1044</v>
      </c>
      <c r="J33" s="3"/>
    </row>
    <row r="34" spans="1:13" ht="19.149999999999999" customHeight="1" x14ac:dyDescent="0.25">
      <c r="D34" s="2" t="s">
        <v>1056</v>
      </c>
      <c r="E34" s="67">
        <f>E21*$I$4</f>
        <v>0.2</v>
      </c>
      <c r="F34" s="67">
        <f>F21*$I$4</f>
        <v>0.25</v>
      </c>
      <c r="G34" s="67">
        <f>G21*$I$4</f>
        <v>0.32499999999999996</v>
      </c>
      <c r="H34" s="67">
        <f>H21*$I$4</f>
        <v>0.32499999999999996</v>
      </c>
      <c r="I34" s="67">
        <f>I21*$I$4</f>
        <v>0.32499999999999996</v>
      </c>
      <c r="J34" s="28" t="s">
        <v>1030</v>
      </c>
    </row>
    <row r="35" spans="1:13" ht="19.149999999999999" customHeight="1" x14ac:dyDescent="0.25">
      <c r="C35" s="2"/>
      <c r="D35" s="9"/>
      <c r="E35" s="9"/>
      <c r="F35" s="9"/>
      <c r="G35" s="9"/>
      <c r="H35" s="9"/>
      <c r="I35" s="28"/>
    </row>
    <row r="36" spans="1:13" ht="19.149999999999999" customHeight="1" x14ac:dyDescent="0.25">
      <c r="A36" s="383" t="s">
        <v>869</v>
      </c>
      <c r="B36" s="91" t="s">
        <v>1057</v>
      </c>
      <c r="C36" s="2"/>
      <c r="D36" s="9"/>
      <c r="E36" s="9"/>
      <c r="F36" s="9"/>
      <c r="G36" s="9"/>
      <c r="H36" s="9"/>
      <c r="I36" s="28"/>
    </row>
    <row r="37" spans="1:13" ht="19.149999999999999" customHeight="1" x14ac:dyDescent="0.25">
      <c r="C37" s="2"/>
      <c r="D37" s="9"/>
      <c r="E37" s="9"/>
      <c r="F37" s="9"/>
      <c r="G37" s="9"/>
      <c r="H37" s="9"/>
      <c r="I37" s="28"/>
    </row>
    <row r="38" spans="1:13" ht="19.149999999999999" customHeight="1" x14ac:dyDescent="0.25">
      <c r="B38" s="1" t="s">
        <v>1058</v>
      </c>
      <c r="H38" s="1"/>
      <c r="I38" s="1"/>
      <c r="J38" s="1"/>
    </row>
    <row r="39" spans="1:13" ht="19.149999999999999" customHeight="1" x14ac:dyDescent="0.25">
      <c r="E39" s="395" t="s">
        <v>1040</v>
      </c>
      <c r="F39" s="396" t="s">
        <v>1041</v>
      </c>
      <c r="G39" s="396" t="s">
        <v>1042</v>
      </c>
      <c r="H39" s="396" t="s">
        <v>1043</v>
      </c>
      <c r="I39" s="396" t="s">
        <v>1044</v>
      </c>
    </row>
    <row r="40" spans="1:13" ht="19.149999999999999" customHeight="1" x14ac:dyDescent="0.25">
      <c r="D40" s="2" t="s">
        <v>1059</v>
      </c>
      <c r="E40" s="67">
        <f>E34/E30</f>
        <v>0.41666666666666669</v>
      </c>
      <c r="F40" s="67">
        <f t="shared" ref="F40:I40" si="0">F34/F30</f>
        <v>0.41666666666666669</v>
      </c>
      <c r="G40" s="67">
        <f t="shared" si="0"/>
        <v>0.54166666666666663</v>
      </c>
      <c r="H40" s="67">
        <f t="shared" si="0"/>
        <v>0.41035353535353536</v>
      </c>
      <c r="I40" s="67">
        <f t="shared" si="0"/>
        <v>0.3611111111111111</v>
      </c>
      <c r="J40" s="28" t="s">
        <v>1026</v>
      </c>
    </row>
    <row r="41" spans="1:13" ht="19.149999999999999" customHeight="1" x14ac:dyDescent="0.25">
      <c r="D41" s="2"/>
      <c r="E41" s="7"/>
      <c r="I41" s="7"/>
    </row>
    <row r="42" spans="1:13" ht="19.149999999999999" customHeight="1" x14ac:dyDescent="0.25">
      <c r="B42" s="1" t="s">
        <v>1060</v>
      </c>
      <c r="H42" s="1"/>
      <c r="I42" s="1"/>
      <c r="J42" s="1"/>
    </row>
    <row r="43" spans="1:13" ht="19.149999999999999" customHeight="1" x14ac:dyDescent="0.25">
      <c r="E43" s="395" t="s">
        <v>1040</v>
      </c>
      <c r="F43" s="396" t="s">
        <v>1041</v>
      </c>
      <c r="G43" s="396" t="s">
        <v>1042</v>
      </c>
      <c r="H43" s="396" t="s">
        <v>1043</v>
      </c>
      <c r="I43" s="396" t="s">
        <v>1044</v>
      </c>
      <c r="J43" s="1"/>
      <c r="K43" s="160"/>
      <c r="L43" s="160"/>
      <c r="M43" s="160"/>
    </row>
    <row r="44" spans="1:13" ht="19.149999999999999" customHeight="1" x14ac:dyDescent="0.25">
      <c r="D44" s="2" t="s">
        <v>1061</v>
      </c>
      <c r="E44" s="67">
        <f>0.2*E40</f>
        <v>8.3333333333333343E-2</v>
      </c>
      <c r="F44" s="67">
        <f t="shared" ref="F44:I44" si="1">0.2*F40</f>
        <v>8.3333333333333343E-2</v>
      </c>
      <c r="G44" s="67">
        <f t="shared" si="1"/>
        <v>0.10833333333333334</v>
      </c>
      <c r="H44" s="67">
        <f t="shared" si="1"/>
        <v>8.2070707070707072E-2</v>
      </c>
      <c r="I44" s="67">
        <f t="shared" si="1"/>
        <v>7.2222222222222229E-2</v>
      </c>
      <c r="J44" s="28" t="s">
        <v>1026</v>
      </c>
    </row>
    <row r="45" spans="1:13" ht="19.149999999999999" customHeight="1" x14ac:dyDescent="0.25">
      <c r="H45" s="1"/>
      <c r="I45" s="1"/>
      <c r="J45" s="1"/>
    </row>
    <row r="47" spans="1:13" ht="19.149999999999999" customHeight="1" x14ac:dyDescent="0.25">
      <c r="A47" s="383" t="s">
        <v>733</v>
      </c>
      <c r="B47" s="91" t="s">
        <v>1057</v>
      </c>
    </row>
    <row r="48" spans="1:13" ht="19.149999999999999" customHeight="1" x14ac:dyDescent="0.25">
      <c r="B48" s="398" t="s">
        <v>1062</v>
      </c>
      <c r="C48" s="398" t="s">
        <v>1063</v>
      </c>
      <c r="D48" s="398" t="s">
        <v>1062</v>
      </c>
      <c r="E48" s="398" t="s">
        <v>1063</v>
      </c>
      <c r="F48" s="398" t="s">
        <v>1062</v>
      </c>
      <c r="G48" s="398" t="s">
        <v>1063</v>
      </c>
      <c r="H48" s="398" t="s">
        <v>1062</v>
      </c>
      <c r="I48" s="398" t="s">
        <v>1063</v>
      </c>
      <c r="J48" s="398" t="s">
        <v>1062</v>
      </c>
      <c r="K48" s="398" t="s">
        <v>1063</v>
      </c>
      <c r="L48" s="399"/>
      <c r="M48" s="399"/>
    </row>
    <row r="49" spans="1:13" ht="19.149999999999999" customHeight="1" x14ac:dyDescent="0.25">
      <c r="B49" s="616" t="s">
        <v>1040</v>
      </c>
      <c r="C49" s="616"/>
      <c r="D49" s="612" t="s">
        <v>1041</v>
      </c>
      <c r="E49" s="612"/>
      <c r="F49" s="612" t="s">
        <v>1042</v>
      </c>
      <c r="G49" s="612"/>
      <c r="H49" s="612" t="s">
        <v>1043</v>
      </c>
      <c r="I49" s="612"/>
      <c r="J49" s="612" t="s">
        <v>1044</v>
      </c>
      <c r="K49" s="612"/>
      <c r="L49" s="400"/>
      <c r="M49" s="400"/>
    </row>
    <row r="50" spans="1:13" ht="19.149999999999999" customHeight="1" x14ac:dyDescent="0.25">
      <c r="A50" s="401">
        <v>1</v>
      </c>
      <c r="B50" s="402">
        <v>0</v>
      </c>
      <c r="C50" s="67">
        <f>E26</f>
        <v>0.24</v>
      </c>
      <c r="D50" s="402">
        <v>0</v>
      </c>
      <c r="E50" s="67">
        <f>F26</f>
        <v>0.3</v>
      </c>
      <c r="F50" s="402">
        <v>0</v>
      </c>
      <c r="G50" s="67">
        <f>G26</f>
        <v>0.33</v>
      </c>
      <c r="H50" s="402">
        <v>0</v>
      </c>
      <c r="I50" s="67">
        <f>H26</f>
        <v>0.36</v>
      </c>
      <c r="J50" s="402">
        <v>0</v>
      </c>
      <c r="K50" s="67">
        <f>I26</f>
        <v>0.36</v>
      </c>
      <c r="L50" s="9"/>
      <c r="M50" s="9"/>
    </row>
    <row r="51" spans="1:13" ht="19.149999999999999" customHeight="1" x14ac:dyDescent="0.25">
      <c r="A51" s="401">
        <f>A50+1</f>
        <v>2</v>
      </c>
      <c r="B51" s="402">
        <f>E44</f>
        <v>8.3333333333333343E-2</v>
      </c>
      <c r="C51" s="67">
        <f>E30</f>
        <v>0.48</v>
      </c>
      <c r="D51" s="402">
        <f>F44</f>
        <v>8.3333333333333343E-2</v>
      </c>
      <c r="E51" s="67">
        <f>F30</f>
        <v>0.6</v>
      </c>
      <c r="F51" s="402">
        <f>G44</f>
        <v>0.10833333333333334</v>
      </c>
      <c r="G51" s="67">
        <f>G30</f>
        <v>0.6</v>
      </c>
      <c r="H51" s="402">
        <f>H44</f>
        <v>8.2070707070707072E-2</v>
      </c>
      <c r="I51" s="67">
        <f>H30</f>
        <v>0.79199999999999993</v>
      </c>
      <c r="J51" s="402">
        <f>I44</f>
        <v>7.2222222222222229E-2</v>
      </c>
      <c r="K51" s="67">
        <f>I30</f>
        <v>0.89999999999999991</v>
      </c>
      <c r="L51" s="9"/>
      <c r="M51" s="9"/>
    </row>
    <row r="52" spans="1:13" ht="19.149999999999999" customHeight="1" x14ac:dyDescent="0.25">
      <c r="A52" s="401">
        <f t="shared" ref="A52:A79" si="2">A51+1</f>
        <v>3</v>
      </c>
      <c r="B52" s="402">
        <f>E40</f>
        <v>0.41666666666666669</v>
      </c>
      <c r="C52" s="67">
        <f>E30</f>
        <v>0.48</v>
      </c>
      <c r="D52" s="402">
        <f>F40</f>
        <v>0.41666666666666669</v>
      </c>
      <c r="E52" s="67">
        <f>F30</f>
        <v>0.6</v>
      </c>
      <c r="F52" s="402">
        <f>G40</f>
        <v>0.54166666666666663</v>
      </c>
      <c r="G52" s="67">
        <f>G30</f>
        <v>0.6</v>
      </c>
      <c r="H52" s="402">
        <f>H40</f>
        <v>0.41035353535353536</v>
      </c>
      <c r="I52" s="67">
        <f>H30</f>
        <v>0.79199999999999993</v>
      </c>
      <c r="J52" s="402">
        <f>I40</f>
        <v>0.3611111111111111</v>
      </c>
      <c r="K52" s="67">
        <f>I30</f>
        <v>0.89999999999999991</v>
      </c>
      <c r="L52" s="9"/>
      <c r="M52" s="9"/>
    </row>
    <row r="53" spans="1:13" ht="19.149999999999999" customHeight="1" x14ac:dyDescent="0.25">
      <c r="A53" s="401">
        <f t="shared" si="2"/>
        <v>4</v>
      </c>
      <c r="B53" s="402">
        <f>(A53-30)/(3-30)*($B$52-$B$79)+$B$79</f>
        <v>0.77160493827160437</v>
      </c>
      <c r="C53" s="67">
        <f>$E$34/B53</f>
        <v>0.25920000000000021</v>
      </c>
      <c r="D53" s="402">
        <f>(A53-30)/(3-30)*($D$52-$D$79)+$D$79</f>
        <v>0.77160493827160437</v>
      </c>
      <c r="E53" s="67">
        <f>$F$34/D53</f>
        <v>0.32400000000000023</v>
      </c>
      <c r="F53" s="402">
        <f>(A53-30)/(3-30)*($F$52-$F$79)+$F$79</f>
        <v>0.89197530864197461</v>
      </c>
      <c r="G53" s="67">
        <f>$G$34/F53</f>
        <v>0.36435986159169576</v>
      </c>
      <c r="H53" s="402">
        <f>(A53-30)/(3-30)*($H$52-$H$79)+$H$79</f>
        <v>0.7655256266367374</v>
      </c>
      <c r="I53" s="67">
        <f>$H$34/H53</f>
        <v>0.42454489920586452</v>
      </c>
      <c r="J53" s="402">
        <f>(A53-30)/(3-30)*($J$52-$J$79)+$J$79</f>
        <v>0.71810699588477434</v>
      </c>
      <c r="K53" s="67">
        <f>$I$34/J53</f>
        <v>0.4525787965616041</v>
      </c>
      <c r="L53" s="9"/>
      <c r="M53" s="9"/>
    </row>
    <row r="54" spans="1:13" ht="19.149999999999999" customHeight="1" x14ac:dyDescent="0.25">
      <c r="A54" s="401">
        <f t="shared" si="2"/>
        <v>5</v>
      </c>
      <c r="B54" s="402">
        <f t="shared" ref="B54:B78" si="3">(A54-30)/(3-30)*($B$52-$B$79)+$B$79</f>
        <v>1.1265432098765427</v>
      </c>
      <c r="C54" s="67">
        <f t="shared" ref="C54:C79" si="4">$E$34/B54</f>
        <v>0.17753424657534256</v>
      </c>
      <c r="D54" s="402">
        <f t="shared" ref="D54:D78" si="5">(A54-30)/(3-30)*($D$52-$D$79)+$D$79</f>
        <v>1.1265432098765427</v>
      </c>
      <c r="E54" s="67">
        <f t="shared" ref="E54:E79" si="6">$F$34/D54</f>
        <v>0.2219178082191782</v>
      </c>
      <c r="F54" s="402">
        <f t="shared" ref="F54:F78" si="7">(A54-30)/(3-30)*($F$52-$F$79)+$F$79</f>
        <v>1.2422839506172831</v>
      </c>
      <c r="G54" s="67">
        <f t="shared" ref="G54:G79" si="8">$G$34/F54</f>
        <v>0.26161490683229827</v>
      </c>
      <c r="H54" s="402">
        <f t="shared" ref="H54:H78" si="9">(A54-30)/(3-30)*($H$52-$H$79)+$H$79</f>
        <v>1.1206977179199402</v>
      </c>
      <c r="I54" s="67">
        <f t="shared" ref="I54:I78" si="10">$H$34/H54</f>
        <v>0.28999791362403499</v>
      </c>
      <c r="J54" s="402">
        <f t="shared" ref="J54:J78" si="11">(A54-30)/(3-30)*($J$52-$J$79)+$J$79</f>
        <v>1.0751028806584362</v>
      </c>
      <c r="K54" s="67">
        <f t="shared" ref="K54:K79" si="12">$I$34/J54</f>
        <v>0.30229665071770334</v>
      </c>
      <c r="L54" s="9"/>
      <c r="M54" s="9"/>
    </row>
    <row r="55" spans="1:13" ht="19.149999999999999" customHeight="1" x14ac:dyDescent="0.25">
      <c r="A55" s="401">
        <f t="shared" si="2"/>
        <v>6</v>
      </c>
      <c r="B55" s="402">
        <f t="shared" si="3"/>
        <v>1.481481481481481</v>
      </c>
      <c r="C55" s="67">
        <f t="shared" si="4"/>
        <v>0.13500000000000006</v>
      </c>
      <c r="D55" s="402">
        <f t="shared" si="5"/>
        <v>1.481481481481481</v>
      </c>
      <c r="E55" s="67">
        <f t="shared" si="6"/>
        <v>0.16875000000000007</v>
      </c>
      <c r="F55" s="402">
        <f t="shared" si="7"/>
        <v>1.5925925925925917</v>
      </c>
      <c r="G55" s="67">
        <f t="shared" si="8"/>
        <v>0.20406976744186056</v>
      </c>
      <c r="H55" s="402">
        <f t="shared" si="9"/>
        <v>1.475869809203143</v>
      </c>
      <c r="I55" s="67">
        <f t="shared" si="10"/>
        <v>0.22020912547528507</v>
      </c>
      <c r="J55" s="402">
        <f t="shared" si="11"/>
        <v>1.432098765432098</v>
      </c>
      <c r="K55" s="67">
        <f t="shared" si="12"/>
        <v>0.22693965517241388</v>
      </c>
      <c r="L55" s="9"/>
      <c r="M55" s="9"/>
    </row>
    <row r="56" spans="1:13" ht="19.149999999999999" customHeight="1" x14ac:dyDescent="0.25">
      <c r="A56" s="401">
        <f t="shared" si="2"/>
        <v>7</v>
      </c>
      <c r="B56" s="402">
        <f t="shared" si="3"/>
        <v>1.8364197530864192</v>
      </c>
      <c r="C56" s="67">
        <f t="shared" si="4"/>
        <v>0.10890756302521012</v>
      </c>
      <c r="D56" s="402">
        <f t="shared" si="5"/>
        <v>1.8364197530864192</v>
      </c>
      <c r="E56" s="67">
        <f t="shared" si="6"/>
        <v>0.13613445378151265</v>
      </c>
      <c r="F56" s="402">
        <f t="shared" si="7"/>
        <v>1.9429012345679002</v>
      </c>
      <c r="G56" s="67">
        <f t="shared" si="8"/>
        <v>0.1672756155679111</v>
      </c>
      <c r="H56" s="402">
        <f t="shared" si="9"/>
        <v>1.8310419004863441</v>
      </c>
      <c r="I56" s="67">
        <f t="shared" si="10"/>
        <v>0.17749457285148773</v>
      </c>
      <c r="J56" s="402">
        <f t="shared" si="11"/>
        <v>1.7890946502057616</v>
      </c>
      <c r="K56" s="67">
        <f t="shared" si="12"/>
        <v>0.18165612420931565</v>
      </c>
      <c r="L56" s="9"/>
      <c r="M56" s="9"/>
    </row>
    <row r="57" spans="1:13" ht="19.149999999999999" customHeight="1" x14ac:dyDescent="0.25">
      <c r="A57" s="401">
        <f t="shared" si="2"/>
        <v>8</v>
      </c>
      <c r="B57" s="402">
        <f t="shared" si="3"/>
        <v>2.1913580246913575</v>
      </c>
      <c r="C57" s="67">
        <f t="shared" si="4"/>
        <v>9.1267605633802845E-2</v>
      </c>
      <c r="D57" s="402">
        <f t="shared" si="5"/>
        <v>2.1913580246913575</v>
      </c>
      <c r="E57" s="67">
        <f t="shared" si="6"/>
        <v>0.11408450704225355</v>
      </c>
      <c r="F57" s="402">
        <f t="shared" si="7"/>
        <v>2.2932098765432096</v>
      </c>
      <c r="G57" s="67">
        <f t="shared" si="8"/>
        <v>0.14172274562584117</v>
      </c>
      <c r="H57" s="402">
        <f t="shared" si="9"/>
        <v>2.1862139917695469</v>
      </c>
      <c r="I57" s="67">
        <f t="shared" si="10"/>
        <v>0.14865882352941176</v>
      </c>
      <c r="J57" s="402">
        <f t="shared" si="11"/>
        <v>2.1460905349794244</v>
      </c>
      <c r="K57" s="67">
        <f t="shared" si="12"/>
        <v>0.15143815915627989</v>
      </c>
      <c r="L57" s="9"/>
      <c r="M57" s="9"/>
    </row>
    <row r="58" spans="1:13" ht="19.149999999999999" customHeight="1" x14ac:dyDescent="0.25">
      <c r="A58" s="401">
        <f t="shared" si="2"/>
        <v>9</v>
      </c>
      <c r="B58" s="402">
        <f t="shared" si="3"/>
        <v>2.5462962962962958</v>
      </c>
      <c r="C58" s="67">
        <f t="shared" si="4"/>
        <v>7.8545454545454557E-2</v>
      </c>
      <c r="D58" s="402">
        <f t="shared" si="5"/>
        <v>2.5462962962962958</v>
      </c>
      <c r="E58" s="67">
        <f t="shared" si="6"/>
        <v>9.8181818181818203E-2</v>
      </c>
      <c r="F58" s="402">
        <f t="shared" si="7"/>
        <v>2.6435185185185182</v>
      </c>
      <c r="G58" s="67">
        <f t="shared" si="8"/>
        <v>0.12294220665499124</v>
      </c>
      <c r="H58" s="402">
        <f t="shared" si="9"/>
        <v>2.5413860830527488</v>
      </c>
      <c r="I58" s="67">
        <f t="shared" si="10"/>
        <v>0.12788296991443557</v>
      </c>
      <c r="J58" s="402">
        <f t="shared" si="11"/>
        <v>2.5030864197530862</v>
      </c>
      <c r="K58" s="67">
        <f t="shared" si="12"/>
        <v>0.12983970406905054</v>
      </c>
      <c r="L58" s="9"/>
      <c r="M58" s="9"/>
    </row>
    <row r="59" spans="1:13" ht="19.149999999999999" customHeight="1" x14ac:dyDescent="0.25">
      <c r="A59" s="401">
        <f t="shared" si="2"/>
        <v>10</v>
      </c>
      <c r="B59" s="402">
        <f t="shared" si="3"/>
        <v>2.9012345679012341</v>
      </c>
      <c r="C59" s="67">
        <f t="shared" si="4"/>
        <v>6.8936170212765976E-2</v>
      </c>
      <c r="D59" s="402">
        <f t="shared" si="5"/>
        <v>2.9012345679012341</v>
      </c>
      <c r="E59" s="67">
        <f t="shared" si="6"/>
        <v>8.617021276595746E-2</v>
      </c>
      <c r="F59" s="402">
        <f t="shared" si="7"/>
        <v>2.9938271604938267</v>
      </c>
      <c r="G59" s="67">
        <f t="shared" si="8"/>
        <v>0.10855670103092784</v>
      </c>
      <c r="H59" s="402">
        <f t="shared" si="9"/>
        <v>2.8965581743359516</v>
      </c>
      <c r="I59" s="67">
        <f t="shared" si="10"/>
        <v>0.11220213109460769</v>
      </c>
      <c r="J59" s="402">
        <f t="shared" si="11"/>
        <v>2.8600823045267489</v>
      </c>
      <c r="K59" s="67">
        <f t="shared" si="12"/>
        <v>0.11363309352517985</v>
      </c>
      <c r="L59" s="9"/>
      <c r="M59" s="9"/>
    </row>
    <row r="60" spans="1:13" ht="19.149999999999999" customHeight="1" x14ac:dyDescent="0.25">
      <c r="A60" s="401">
        <f t="shared" si="2"/>
        <v>11</v>
      </c>
      <c r="B60" s="402">
        <f t="shared" si="3"/>
        <v>3.2561728395061724</v>
      </c>
      <c r="C60" s="67">
        <f t="shared" si="4"/>
        <v>6.1421800947867311E-2</v>
      </c>
      <c r="D60" s="402">
        <f t="shared" si="5"/>
        <v>3.2561728395061724</v>
      </c>
      <c r="E60" s="67">
        <f t="shared" si="6"/>
        <v>7.6777251184834139E-2</v>
      </c>
      <c r="F60" s="402">
        <f t="shared" si="7"/>
        <v>3.3441358024691352</v>
      </c>
      <c r="G60" s="67">
        <f t="shared" si="8"/>
        <v>9.7185048454083989E-2</v>
      </c>
      <c r="H60" s="402">
        <f t="shared" si="9"/>
        <v>3.2517302656191536</v>
      </c>
      <c r="I60" s="67">
        <f t="shared" si="10"/>
        <v>9.9946789386639839E-2</v>
      </c>
      <c r="J60" s="402">
        <f t="shared" si="11"/>
        <v>3.2170781893004108</v>
      </c>
      <c r="K60" s="67">
        <f t="shared" si="12"/>
        <v>0.10102334505916215</v>
      </c>
      <c r="L60" s="9"/>
      <c r="M60" s="9"/>
    </row>
    <row r="61" spans="1:13" ht="19.149999999999999" customHeight="1" x14ac:dyDescent="0.25">
      <c r="A61" s="401">
        <f t="shared" si="2"/>
        <v>12</v>
      </c>
      <c r="B61" s="402">
        <f t="shared" si="3"/>
        <v>3.6111111111111107</v>
      </c>
      <c r="C61" s="67">
        <f t="shared" si="4"/>
        <v>5.5384615384615393E-2</v>
      </c>
      <c r="D61" s="402">
        <f t="shared" si="5"/>
        <v>3.6111111111111107</v>
      </c>
      <c r="E61" s="67">
        <f t="shared" si="6"/>
        <v>6.9230769230769235E-2</v>
      </c>
      <c r="F61" s="402">
        <f t="shared" si="7"/>
        <v>3.6944444444444446</v>
      </c>
      <c r="G61" s="67">
        <f t="shared" si="8"/>
        <v>8.7969924812030059E-2</v>
      </c>
      <c r="H61" s="402">
        <f t="shared" si="9"/>
        <v>3.6069023569023564</v>
      </c>
      <c r="I61" s="67">
        <f t="shared" si="10"/>
        <v>9.0105017502917148E-2</v>
      </c>
      <c r="J61" s="402">
        <f t="shared" si="11"/>
        <v>3.5740740740740744</v>
      </c>
      <c r="K61" s="67">
        <f t="shared" si="12"/>
        <v>9.0932642487046605E-2</v>
      </c>
      <c r="L61" s="9"/>
      <c r="M61" s="9"/>
    </row>
    <row r="62" spans="1:13" ht="19.149999999999999" customHeight="1" x14ac:dyDescent="0.25">
      <c r="A62" s="401">
        <f t="shared" si="2"/>
        <v>13</v>
      </c>
      <c r="B62" s="402">
        <f t="shared" si="3"/>
        <v>3.966049382716049</v>
      </c>
      <c r="C62" s="67">
        <f t="shared" si="4"/>
        <v>5.0428015564202344E-2</v>
      </c>
      <c r="D62" s="402">
        <f t="shared" si="5"/>
        <v>3.966049382716049</v>
      </c>
      <c r="E62" s="67">
        <f t="shared" si="6"/>
        <v>6.303501945525293E-2</v>
      </c>
      <c r="F62" s="402">
        <f t="shared" si="7"/>
        <v>4.0447530864197523</v>
      </c>
      <c r="G62" s="67">
        <f t="shared" si="8"/>
        <v>8.0351011064479214E-2</v>
      </c>
      <c r="H62" s="402">
        <f t="shared" si="9"/>
        <v>3.9620744481855583</v>
      </c>
      <c r="I62" s="67">
        <f t="shared" si="10"/>
        <v>8.2027736795514908E-2</v>
      </c>
      <c r="J62" s="402">
        <f t="shared" si="11"/>
        <v>3.9310699588477362</v>
      </c>
      <c r="K62" s="67">
        <f t="shared" si="12"/>
        <v>8.2674692488877252E-2</v>
      </c>
      <c r="L62" s="9"/>
      <c r="M62" s="9"/>
    </row>
    <row r="63" spans="1:13" ht="19.149999999999999" customHeight="1" x14ac:dyDescent="0.25">
      <c r="A63" s="401">
        <f t="shared" si="2"/>
        <v>14</v>
      </c>
      <c r="B63" s="402">
        <f t="shared" si="3"/>
        <v>4.3209876543209873</v>
      </c>
      <c r="C63" s="67">
        <f t="shared" si="4"/>
        <v>4.6285714285714291E-2</v>
      </c>
      <c r="D63" s="402">
        <f t="shared" si="5"/>
        <v>4.3209876543209873</v>
      </c>
      <c r="E63" s="67">
        <f t="shared" si="6"/>
        <v>5.7857142857142864E-2</v>
      </c>
      <c r="F63" s="402">
        <f t="shared" si="7"/>
        <v>4.3950617283950617</v>
      </c>
      <c r="G63" s="67">
        <f t="shared" si="8"/>
        <v>7.3946629213483134E-2</v>
      </c>
      <c r="H63" s="402">
        <f t="shared" si="9"/>
        <v>4.3172465394687611</v>
      </c>
      <c r="I63" s="67">
        <f t="shared" si="10"/>
        <v>7.5279462738301564E-2</v>
      </c>
      <c r="J63" s="402">
        <f t="shared" si="11"/>
        <v>4.288065843621399</v>
      </c>
      <c r="K63" s="67">
        <f t="shared" si="12"/>
        <v>7.5791746641074853E-2</v>
      </c>
      <c r="L63" s="9"/>
      <c r="M63" s="9"/>
    </row>
    <row r="64" spans="1:13" ht="19.149999999999999" customHeight="1" x14ac:dyDescent="0.25">
      <c r="A64" s="401">
        <f t="shared" si="2"/>
        <v>15</v>
      </c>
      <c r="B64" s="402">
        <f t="shared" si="3"/>
        <v>4.6759259259259256</v>
      </c>
      <c r="C64" s="67">
        <f t="shared" si="4"/>
        <v>4.2772277227722776E-2</v>
      </c>
      <c r="D64" s="402">
        <f t="shared" si="5"/>
        <v>4.6759259259259256</v>
      </c>
      <c r="E64" s="67">
        <f t="shared" si="6"/>
        <v>5.3465346534653471E-2</v>
      </c>
      <c r="F64" s="402">
        <f t="shared" si="7"/>
        <v>4.7453703703703702</v>
      </c>
      <c r="G64" s="67">
        <f t="shared" si="8"/>
        <v>6.8487804878048772E-2</v>
      </c>
      <c r="H64" s="402">
        <f t="shared" si="9"/>
        <v>4.6724186307519631</v>
      </c>
      <c r="I64" s="67">
        <f t="shared" si="10"/>
        <v>6.9557123555021777E-2</v>
      </c>
      <c r="J64" s="402">
        <f t="shared" si="11"/>
        <v>4.6450617283950617</v>
      </c>
      <c r="K64" s="67">
        <f t="shared" si="12"/>
        <v>6.9966777408637867E-2</v>
      </c>
      <c r="L64" s="9"/>
      <c r="M64" s="9"/>
    </row>
    <row r="65" spans="1:13" ht="19.149999999999999" customHeight="1" x14ac:dyDescent="0.25">
      <c r="A65" s="401">
        <f t="shared" si="2"/>
        <v>16</v>
      </c>
      <c r="B65" s="402">
        <f t="shared" si="3"/>
        <v>5.0308641975308639</v>
      </c>
      <c r="C65" s="67">
        <f t="shared" si="4"/>
        <v>3.9754601226993869E-2</v>
      </c>
      <c r="D65" s="402">
        <f t="shared" si="5"/>
        <v>5.0308641975308639</v>
      </c>
      <c r="E65" s="67">
        <f t="shared" si="6"/>
        <v>4.9693251533742336E-2</v>
      </c>
      <c r="F65" s="402">
        <f t="shared" si="7"/>
        <v>5.0956790123456788</v>
      </c>
      <c r="G65" s="67">
        <f t="shared" si="8"/>
        <v>6.377952755905511E-2</v>
      </c>
      <c r="H65" s="402">
        <f t="shared" si="9"/>
        <v>5.0275907220351668</v>
      </c>
      <c r="I65" s="67">
        <f t="shared" si="10"/>
        <v>6.4643288996372422E-2</v>
      </c>
      <c r="J65" s="402">
        <f t="shared" si="11"/>
        <v>5.0020576131687244</v>
      </c>
      <c r="K65" s="67">
        <f t="shared" si="12"/>
        <v>6.4973262032085546E-2</v>
      </c>
      <c r="L65" s="9"/>
      <c r="M65" s="9"/>
    </row>
    <row r="66" spans="1:13" ht="19.149999999999999" customHeight="1" x14ac:dyDescent="0.25">
      <c r="A66" s="401">
        <f t="shared" si="2"/>
        <v>17</v>
      </c>
      <c r="B66" s="402">
        <f t="shared" si="3"/>
        <v>5.3858024691358022</v>
      </c>
      <c r="C66" s="67">
        <f t="shared" si="4"/>
        <v>3.7134670487106024E-2</v>
      </c>
      <c r="D66" s="402">
        <f t="shared" si="5"/>
        <v>5.3858024691358022</v>
      </c>
      <c r="E66" s="67">
        <f t="shared" si="6"/>
        <v>4.6418338108882524E-2</v>
      </c>
      <c r="F66" s="402">
        <f t="shared" si="7"/>
        <v>5.4459876543209873</v>
      </c>
      <c r="G66" s="67">
        <f t="shared" si="8"/>
        <v>5.9676962312269759E-2</v>
      </c>
      <c r="H66" s="402">
        <f t="shared" si="9"/>
        <v>5.3827628133183687</v>
      </c>
      <c r="I66" s="67">
        <f t="shared" si="10"/>
        <v>6.0377915815994089E-2</v>
      </c>
      <c r="J66" s="402">
        <f t="shared" si="11"/>
        <v>5.3590534979423872</v>
      </c>
      <c r="K66" s="67">
        <f t="shared" si="12"/>
        <v>6.0645037435208278E-2</v>
      </c>
      <c r="L66" s="9"/>
      <c r="M66" s="9"/>
    </row>
    <row r="67" spans="1:13" ht="19.149999999999999" customHeight="1" x14ac:dyDescent="0.25">
      <c r="A67" s="401">
        <f t="shared" si="2"/>
        <v>18</v>
      </c>
      <c r="B67" s="402">
        <f t="shared" si="3"/>
        <v>5.7407407407407405</v>
      </c>
      <c r="C67" s="67">
        <f t="shared" si="4"/>
        <v>3.4838709677419359E-2</v>
      </c>
      <c r="D67" s="402">
        <f t="shared" si="5"/>
        <v>5.7407407407407405</v>
      </c>
      <c r="E67" s="67">
        <f t="shared" si="6"/>
        <v>4.3548387096774194E-2</v>
      </c>
      <c r="F67" s="402">
        <f t="shared" si="7"/>
        <v>5.7962962962962958</v>
      </c>
      <c r="G67" s="67">
        <f t="shared" si="8"/>
        <v>5.6070287539936099E-2</v>
      </c>
      <c r="H67" s="402">
        <f t="shared" si="9"/>
        <v>5.7379349046015715</v>
      </c>
      <c r="I67" s="67">
        <f t="shared" si="10"/>
        <v>5.6640586797066003E-2</v>
      </c>
      <c r="J67" s="402">
        <f t="shared" si="11"/>
        <v>5.716049382716049</v>
      </c>
      <c r="K67" s="67">
        <f t="shared" si="12"/>
        <v>5.6857451403887684E-2</v>
      </c>
      <c r="L67" s="9"/>
      <c r="M67" s="9"/>
    </row>
    <row r="68" spans="1:13" ht="19.149999999999999" customHeight="1" x14ac:dyDescent="0.25">
      <c r="A68" s="401">
        <f t="shared" si="2"/>
        <v>19</v>
      </c>
      <c r="B68" s="402">
        <f t="shared" si="3"/>
        <v>6.0956790123456788</v>
      </c>
      <c r="C68" s="67">
        <f t="shared" si="4"/>
        <v>3.2810126582278484E-2</v>
      </c>
      <c r="D68" s="402">
        <f t="shared" si="5"/>
        <v>6.0956790123456788</v>
      </c>
      <c r="E68" s="67">
        <f t="shared" si="6"/>
        <v>4.1012658227848102E-2</v>
      </c>
      <c r="F68" s="402">
        <f t="shared" si="7"/>
        <v>6.1466049382716044</v>
      </c>
      <c r="G68" s="67">
        <f t="shared" si="8"/>
        <v>5.287471754958574E-2</v>
      </c>
      <c r="H68" s="402">
        <f t="shared" si="9"/>
        <v>6.0931069958847734</v>
      </c>
      <c r="I68" s="67">
        <f t="shared" si="10"/>
        <v>5.3338961587167576E-2</v>
      </c>
      <c r="J68" s="402">
        <f t="shared" si="11"/>
        <v>6.0730452674897126</v>
      </c>
      <c r="K68" s="67">
        <f t="shared" si="12"/>
        <v>5.351516178214466E-2</v>
      </c>
      <c r="L68" s="9"/>
      <c r="M68" s="9"/>
    </row>
    <row r="69" spans="1:13" ht="19.149999999999999" customHeight="1" x14ac:dyDescent="0.25">
      <c r="A69" s="401">
        <f t="shared" si="2"/>
        <v>20</v>
      </c>
      <c r="B69" s="402">
        <f t="shared" si="3"/>
        <v>6.4506172839506171</v>
      </c>
      <c r="C69" s="67">
        <f t="shared" si="4"/>
        <v>3.1004784688995219E-2</v>
      </c>
      <c r="D69" s="402">
        <f t="shared" si="5"/>
        <v>6.4506172839506171</v>
      </c>
      <c r="E69" s="67">
        <f t="shared" si="6"/>
        <v>3.8755980861244023E-2</v>
      </c>
      <c r="F69" s="402">
        <f t="shared" si="7"/>
        <v>6.4969135802469129</v>
      </c>
      <c r="G69" s="67">
        <f t="shared" si="8"/>
        <v>5.0023752969121135E-2</v>
      </c>
      <c r="H69" s="402">
        <f t="shared" si="9"/>
        <v>6.4482790871679754</v>
      </c>
      <c r="I69" s="67">
        <f t="shared" si="10"/>
        <v>5.0401044310682423E-2</v>
      </c>
      <c r="J69" s="402">
        <f t="shared" si="11"/>
        <v>6.4300411522633745</v>
      </c>
      <c r="K69" s="67">
        <f t="shared" si="12"/>
        <v>5.0543999999999992E-2</v>
      </c>
      <c r="L69" s="9"/>
      <c r="M69" s="9"/>
    </row>
    <row r="70" spans="1:13" ht="19.149999999999999" customHeight="1" x14ac:dyDescent="0.25">
      <c r="A70" s="401">
        <f t="shared" si="2"/>
        <v>21</v>
      </c>
      <c r="B70" s="402">
        <f t="shared" si="3"/>
        <v>6.8055555555555554</v>
      </c>
      <c r="C70" s="67">
        <f t="shared" si="4"/>
        <v>2.9387755102040818E-2</v>
      </c>
      <c r="D70" s="402">
        <f t="shared" si="5"/>
        <v>6.8055555555555554</v>
      </c>
      <c r="E70" s="67">
        <f t="shared" si="6"/>
        <v>3.6734693877551024E-2</v>
      </c>
      <c r="F70" s="402">
        <f t="shared" si="7"/>
        <v>6.8472222222222223</v>
      </c>
      <c r="G70" s="67">
        <f t="shared" si="8"/>
        <v>4.7464503042596341E-2</v>
      </c>
      <c r="H70" s="402">
        <f t="shared" si="9"/>
        <v>6.8034511784511782</v>
      </c>
      <c r="I70" s="67">
        <f t="shared" si="10"/>
        <v>4.7769873182802347E-2</v>
      </c>
      <c r="J70" s="402">
        <f t="shared" si="11"/>
        <v>6.7870370370370372</v>
      </c>
      <c r="K70" s="67">
        <f t="shared" si="12"/>
        <v>4.7885402455661655E-2</v>
      </c>
      <c r="L70" s="9"/>
      <c r="M70" s="9"/>
    </row>
    <row r="71" spans="1:13" ht="19.149999999999999" customHeight="1" x14ac:dyDescent="0.25">
      <c r="A71" s="401">
        <f t="shared" si="2"/>
        <v>22</v>
      </c>
      <c r="B71" s="402">
        <f t="shared" si="3"/>
        <v>7.1604938271604937</v>
      </c>
      <c r="C71" s="67">
        <f t="shared" si="4"/>
        <v>2.7931034482758622E-2</v>
      </c>
      <c r="D71" s="402">
        <f t="shared" si="5"/>
        <v>7.1604938271604937</v>
      </c>
      <c r="E71" s="67">
        <f t="shared" si="6"/>
        <v>3.4913793103448276E-2</v>
      </c>
      <c r="F71" s="402">
        <f t="shared" si="7"/>
        <v>7.1975308641975309</v>
      </c>
      <c r="G71" s="67">
        <f t="shared" si="8"/>
        <v>4.5154373927958825E-2</v>
      </c>
      <c r="H71" s="402">
        <f t="shared" si="9"/>
        <v>7.158623269734381</v>
      </c>
      <c r="I71" s="67">
        <f t="shared" si="10"/>
        <v>4.5399790958975693E-2</v>
      </c>
      <c r="J71" s="402">
        <f t="shared" si="11"/>
        <v>7.1440329218106999</v>
      </c>
      <c r="K71" s="67">
        <f t="shared" si="12"/>
        <v>4.5492511520737321E-2</v>
      </c>
      <c r="L71" s="9"/>
      <c r="M71" s="9"/>
    </row>
    <row r="72" spans="1:13" ht="19.149999999999999" customHeight="1" x14ac:dyDescent="0.25">
      <c r="A72" s="401">
        <f t="shared" si="2"/>
        <v>23</v>
      </c>
      <c r="B72" s="402">
        <f t="shared" si="3"/>
        <v>7.5154320987654319</v>
      </c>
      <c r="C72" s="67">
        <f t="shared" si="4"/>
        <v>2.6611909650924026E-2</v>
      </c>
      <c r="D72" s="402">
        <f t="shared" si="5"/>
        <v>7.5154320987654319</v>
      </c>
      <c r="E72" s="67">
        <f t="shared" si="6"/>
        <v>3.3264887063655033E-2</v>
      </c>
      <c r="F72" s="402">
        <f t="shared" si="7"/>
        <v>7.5478395061728394</v>
      </c>
      <c r="G72" s="67">
        <f t="shared" si="8"/>
        <v>4.3058679206706189E-2</v>
      </c>
      <c r="H72" s="402">
        <f t="shared" si="9"/>
        <v>7.5137953610175838</v>
      </c>
      <c r="I72" s="67">
        <f t="shared" si="10"/>
        <v>4.3253773144546433E-2</v>
      </c>
      <c r="J72" s="402">
        <f t="shared" si="11"/>
        <v>7.5010288065843618</v>
      </c>
      <c r="K72" s="67">
        <f t="shared" si="12"/>
        <v>4.332738993279385E-2</v>
      </c>
      <c r="L72" s="9"/>
      <c r="M72" s="9"/>
    </row>
    <row r="73" spans="1:13" ht="19.149999999999999" customHeight="1" x14ac:dyDescent="0.25">
      <c r="A73" s="401">
        <f t="shared" si="2"/>
        <v>24</v>
      </c>
      <c r="B73" s="402">
        <f t="shared" si="3"/>
        <v>7.8703703703703702</v>
      </c>
      <c r="C73" s="67">
        <f t="shared" si="4"/>
        <v>2.5411764705882356E-2</v>
      </c>
      <c r="D73" s="402">
        <f t="shared" si="5"/>
        <v>7.8703703703703702</v>
      </c>
      <c r="E73" s="67">
        <f t="shared" si="6"/>
        <v>3.1764705882352945E-2</v>
      </c>
      <c r="F73" s="402">
        <f t="shared" si="7"/>
        <v>7.8981481481481479</v>
      </c>
      <c r="G73" s="67">
        <f t="shared" si="8"/>
        <v>4.1148886283704569E-2</v>
      </c>
      <c r="H73" s="402">
        <f t="shared" si="9"/>
        <v>7.8689674523007858</v>
      </c>
      <c r="I73" s="67">
        <f t="shared" si="10"/>
        <v>4.1301479764663925E-2</v>
      </c>
      <c r="J73" s="402">
        <f t="shared" si="11"/>
        <v>7.8580246913580245</v>
      </c>
      <c r="K73" s="67">
        <f t="shared" si="12"/>
        <v>4.1358994501178317E-2</v>
      </c>
      <c r="L73" s="9"/>
      <c r="M73" s="9"/>
    </row>
    <row r="74" spans="1:13" ht="19.149999999999999" customHeight="1" x14ac:dyDescent="0.25">
      <c r="A74" s="401">
        <f t="shared" si="2"/>
        <v>25</v>
      </c>
      <c r="B74" s="402">
        <f t="shared" si="3"/>
        <v>8.2253086419753085</v>
      </c>
      <c r="C74" s="67">
        <f t="shared" si="4"/>
        <v>2.4315196998123827E-2</v>
      </c>
      <c r="D74" s="402">
        <f t="shared" si="5"/>
        <v>8.2253086419753085</v>
      </c>
      <c r="E74" s="67">
        <f t="shared" si="6"/>
        <v>3.0393996247654785E-2</v>
      </c>
      <c r="F74" s="402">
        <f t="shared" si="7"/>
        <v>8.2484567901234573</v>
      </c>
      <c r="G74" s="67">
        <f t="shared" si="8"/>
        <v>3.9401309635173049E-2</v>
      </c>
      <c r="H74" s="402">
        <f t="shared" si="9"/>
        <v>8.2241395435839877</v>
      </c>
      <c r="I74" s="67">
        <f t="shared" si="10"/>
        <v>3.9517811958035991E-2</v>
      </c>
      <c r="J74" s="402">
        <f t="shared" si="11"/>
        <v>8.2150205761316872</v>
      </c>
      <c r="K74" s="67">
        <f t="shared" si="12"/>
        <v>3.9561678146524726E-2</v>
      </c>
      <c r="L74" s="9"/>
      <c r="M74" s="9"/>
    </row>
    <row r="75" spans="1:13" ht="19.149999999999999" customHeight="1" x14ac:dyDescent="0.25">
      <c r="A75" s="401">
        <f t="shared" si="2"/>
        <v>26</v>
      </c>
      <c r="B75" s="402">
        <f t="shared" si="3"/>
        <v>8.5802469135802468</v>
      </c>
      <c r="C75" s="67">
        <f t="shared" si="4"/>
        <v>2.3309352517985615E-2</v>
      </c>
      <c r="D75" s="402">
        <f t="shared" si="5"/>
        <v>8.5802469135802468</v>
      </c>
      <c r="E75" s="67">
        <f t="shared" si="6"/>
        <v>2.9136690647482016E-2</v>
      </c>
      <c r="F75" s="402">
        <f t="shared" si="7"/>
        <v>8.5987654320987659</v>
      </c>
      <c r="G75" s="67">
        <f t="shared" si="8"/>
        <v>3.7796123474515428E-2</v>
      </c>
      <c r="H75" s="402">
        <f t="shared" si="9"/>
        <v>8.5793116348671905</v>
      </c>
      <c r="I75" s="67">
        <f t="shared" si="10"/>
        <v>3.7881827101275474E-2</v>
      </c>
      <c r="J75" s="402">
        <f t="shared" si="11"/>
        <v>8.5720164609053491</v>
      </c>
      <c r="K75" s="67">
        <f t="shared" si="12"/>
        <v>3.7914066250600093E-2</v>
      </c>
      <c r="L75" s="9"/>
      <c r="M75" s="9"/>
    </row>
    <row r="76" spans="1:13" ht="19.149999999999999" customHeight="1" x14ac:dyDescent="0.25">
      <c r="A76" s="401">
        <f t="shared" si="2"/>
        <v>27</v>
      </c>
      <c r="B76" s="402">
        <f>(A75-30)/(3-30)*($B$52-$B$79)+$B$79</f>
        <v>8.5802469135802468</v>
      </c>
      <c r="C76" s="67">
        <f t="shared" si="4"/>
        <v>2.3309352517985615E-2</v>
      </c>
      <c r="D76" s="402">
        <f t="shared" si="5"/>
        <v>8.9351851851851851</v>
      </c>
      <c r="E76" s="67">
        <f t="shared" si="6"/>
        <v>2.7979274611398965E-2</v>
      </c>
      <c r="F76" s="402">
        <f t="shared" si="7"/>
        <v>8.9490740740740744</v>
      </c>
      <c r="G76" s="67">
        <f t="shared" si="8"/>
        <v>3.6316606311432999E-2</v>
      </c>
      <c r="H76" s="402">
        <f t="shared" si="9"/>
        <v>8.9344837261503933</v>
      </c>
      <c r="I76" s="67">
        <f t="shared" si="10"/>
        <v>3.6375912695297156E-2</v>
      </c>
      <c r="J76" s="402">
        <f t="shared" si="11"/>
        <v>8.9290123456790127</v>
      </c>
      <c r="K76" s="67">
        <f t="shared" si="12"/>
        <v>3.6398202557898371E-2</v>
      </c>
      <c r="L76" s="9"/>
      <c r="M76" s="9"/>
    </row>
    <row r="77" spans="1:13" ht="19.149999999999999" customHeight="1" x14ac:dyDescent="0.25">
      <c r="A77" s="401">
        <f t="shared" si="2"/>
        <v>28</v>
      </c>
      <c r="B77" s="402">
        <f t="shared" si="3"/>
        <v>9.2901234567901234</v>
      </c>
      <c r="C77" s="67">
        <f t="shared" si="4"/>
        <v>2.1528239202657808E-2</v>
      </c>
      <c r="D77" s="402">
        <f t="shared" si="5"/>
        <v>9.2901234567901234</v>
      </c>
      <c r="E77" s="67">
        <f t="shared" si="6"/>
        <v>2.6910299003322258E-2</v>
      </c>
      <c r="F77" s="402">
        <f t="shared" si="7"/>
        <v>9.2993827160493829</v>
      </c>
      <c r="G77" s="67">
        <f t="shared" si="8"/>
        <v>3.4948556256223028E-2</v>
      </c>
      <c r="H77" s="402">
        <f t="shared" si="9"/>
        <v>9.2896558174335944</v>
      </c>
      <c r="I77" s="67">
        <f t="shared" si="10"/>
        <v>3.4985149760885979E-2</v>
      </c>
      <c r="J77" s="402">
        <f t="shared" si="11"/>
        <v>9.2860082304526745</v>
      </c>
      <c r="K77" s="67">
        <f t="shared" si="12"/>
        <v>3.4998892089519167E-2</v>
      </c>
      <c r="L77" s="9"/>
      <c r="M77" s="9"/>
    </row>
    <row r="78" spans="1:13" ht="19.149999999999999" customHeight="1" x14ac:dyDescent="0.25">
      <c r="A78" s="401">
        <f t="shared" si="2"/>
        <v>29</v>
      </c>
      <c r="B78" s="402">
        <f t="shared" si="3"/>
        <v>9.6450617283950617</v>
      </c>
      <c r="C78" s="67">
        <f t="shared" si="4"/>
        <v>2.0736000000000001E-2</v>
      </c>
      <c r="D78" s="402">
        <f t="shared" si="5"/>
        <v>9.6450617283950617</v>
      </c>
      <c r="E78" s="67">
        <f t="shared" si="6"/>
        <v>2.5919999999999999E-2</v>
      </c>
      <c r="F78" s="402">
        <f t="shared" si="7"/>
        <v>9.6496913580246915</v>
      </c>
      <c r="G78" s="67">
        <f t="shared" si="8"/>
        <v>3.3679833679833675E-2</v>
      </c>
      <c r="H78" s="402">
        <f t="shared" si="9"/>
        <v>9.6448279087167972</v>
      </c>
      <c r="I78" s="67">
        <f t="shared" si="10"/>
        <v>3.3696816892530727E-2</v>
      </c>
      <c r="J78" s="402">
        <f t="shared" si="11"/>
        <v>9.6430041152263382</v>
      </c>
      <c r="K78" s="67">
        <f t="shared" si="12"/>
        <v>3.3703190013869622E-2</v>
      </c>
      <c r="L78" s="9"/>
      <c r="M78" s="9"/>
    </row>
    <row r="79" spans="1:13" ht="19.149999999999999" customHeight="1" x14ac:dyDescent="0.25">
      <c r="A79" s="401">
        <f t="shared" si="2"/>
        <v>30</v>
      </c>
      <c r="B79" s="402">
        <v>10</v>
      </c>
      <c r="C79" s="67">
        <f t="shared" si="4"/>
        <v>0.02</v>
      </c>
      <c r="D79" s="402">
        <v>10</v>
      </c>
      <c r="E79" s="67">
        <f t="shared" si="6"/>
        <v>2.5000000000000001E-2</v>
      </c>
      <c r="F79" s="402">
        <v>10</v>
      </c>
      <c r="G79" s="67">
        <f t="shared" si="8"/>
        <v>3.2499999999999994E-2</v>
      </c>
      <c r="H79" s="402">
        <v>10</v>
      </c>
      <c r="I79" s="67">
        <f>$H$34/H79</f>
        <v>3.2499999999999994E-2</v>
      </c>
      <c r="J79" s="402">
        <v>10</v>
      </c>
      <c r="K79" s="67">
        <f t="shared" si="12"/>
        <v>3.2499999999999994E-2</v>
      </c>
      <c r="L79" s="9"/>
      <c r="M79" s="9"/>
    </row>
    <row r="80" spans="1:13" ht="19.149999999999999" customHeight="1" x14ac:dyDescent="0.25">
      <c r="B80" s="3"/>
    </row>
    <row r="82" spans="1:16" ht="19.149999999999999" customHeight="1" x14ac:dyDescent="0.25">
      <c r="A82" s="383" t="s">
        <v>736</v>
      </c>
      <c r="B82" s="91" t="s">
        <v>1064</v>
      </c>
    </row>
    <row r="83" spans="1:16" ht="19.149999999999999" customHeight="1" x14ac:dyDescent="0.25">
      <c r="B83" s="1" t="s">
        <v>1060</v>
      </c>
      <c r="H83" s="2" t="s">
        <v>1065</v>
      </c>
      <c r="I83" s="67">
        <f>IF(H7="Batuan Keras (SA)",E44,IF(H7="Batuan (SB)",F44,IF(H7="Tanah Keras (SC)",G44,IF(H7="Tanah Sedang (SD)",H44,IF(H7="Tanah Lunak (SE)",I44,"[ EROR ]")))))</f>
        <v>8.2070707070707072E-2</v>
      </c>
      <c r="J83" s="28" t="s">
        <v>1026</v>
      </c>
    </row>
    <row r="84" spans="1:16" ht="19.149999999999999" customHeight="1" x14ac:dyDescent="0.25">
      <c r="B84" s="1" t="s">
        <v>1058</v>
      </c>
      <c r="H84" s="2" t="s">
        <v>1066</v>
      </c>
      <c r="I84" s="67">
        <f>IF(H7="Batuan Keras (SA)",E40,IF(H7="Batuan (SB)",F40,IF(H7="Tanah Keras (SC)",G40,IF(H7="Tanah Sedang (SD)",H40,IF(H7="Tanah Lunak (SE)",I40,"[ EROR ]")))))</f>
        <v>0.41035353535353536</v>
      </c>
      <c r="J84" s="28" t="s">
        <v>1026</v>
      </c>
    </row>
    <row r="85" spans="1:16" ht="19.149999999999999" customHeight="1" x14ac:dyDescent="0.25">
      <c r="B85" s="1" t="s">
        <v>1051</v>
      </c>
      <c r="H85" s="2" t="s">
        <v>1067</v>
      </c>
      <c r="I85" s="67">
        <f>IF(H7="Batuan Keras (SA)",E26,IF(H7="Batuan (SB)",F26,IF(H7="Tanah Keras (SC)",G26,IF(H7="Tanah Sedang (SD)",H26,IF(H7="Tanah Lunak (SE)",I26,"[ EROR ]")))))</f>
        <v>0.36</v>
      </c>
      <c r="J85" s="28" t="s">
        <v>1030</v>
      </c>
    </row>
    <row r="86" spans="1:16" ht="19.149999999999999" customHeight="1" x14ac:dyDescent="0.25">
      <c r="B86" s="1" t="s">
        <v>1053</v>
      </c>
      <c r="H86" s="2" t="s">
        <v>1068</v>
      </c>
      <c r="I86" s="67">
        <f>IF(H7="Batuan Keras (SA)",E30,IF(H7="Batuan (SB)",F30,IF(H7="Tanah Keras (SC)",G30,IF(H7="Tanah Sedang (SD)",H30,IF(H7="Tanah Lunak (SE)",I30,"[ EROR ]")))))</f>
        <v>0.79199999999999993</v>
      </c>
      <c r="J86" s="28" t="s">
        <v>1030</v>
      </c>
    </row>
    <row r="87" spans="1:16" ht="19.149999999999999" customHeight="1" x14ac:dyDescent="0.25">
      <c r="B87" s="1" t="s">
        <v>1055</v>
      </c>
      <c r="H87" s="2" t="s">
        <v>1069</v>
      </c>
      <c r="I87" s="67">
        <f>IF(H7="Batuan Keras (SA)",E34,IF(H7="Batuan (SB)",F34,IF(H7="Tanah Keras (SC)",G34,IF(H7="Tanah Sedang (SD)",H34,IF(H7="Tanah Lunak (SE)",I34,"[ EROR ]")))))</f>
        <v>0.32499999999999996</v>
      </c>
      <c r="J87" s="28" t="s">
        <v>1030</v>
      </c>
      <c r="N87" s="7"/>
      <c r="O87" s="9"/>
      <c r="P87" s="9"/>
    </row>
    <row r="88" spans="1:16" ht="19.149999999999999" customHeight="1" x14ac:dyDescent="0.25">
      <c r="B88" s="1" t="s">
        <v>1073</v>
      </c>
      <c r="H88" s="2" t="s">
        <v>1074</v>
      </c>
      <c r="I88" s="403">
        <f>IF(I8&lt;I83,(I86-I85)*(I8/I83)+I85,IF(I8&lt;=I84,I86,IF(I8&gt;I84,I87/I8,"[ EROR ]")))</f>
        <v>0.53395207146645496</v>
      </c>
      <c r="J88" s="28" t="s">
        <v>1030</v>
      </c>
      <c r="K88" s="613" t="s">
        <v>1070</v>
      </c>
      <c r="L88" s="9">
        <f>I8</f>
        <v>0.60866886255804664</v>
      </c>
      <c r="M88" s="9">
        <v>0</v>
      </c>
    </row>
    <row r="89" spans="1:16" ht="19.149999999999999" customHeight="1" x14ac:dyDescent="0.25">
      <c r="I89" s="404"/>
      <c r="K89" s="613"/>
      <c r="L89" s="9">
        <f>L88</f>
        <v>0.60866886255804664</v>
      </c>
      <c r="M89" s="9">
        <f>I88</f>
        <v>0.53395207146645496</v>
      </c>
    </row>
    <row r="92" spans="1:16" ht="19.149999999999999" customHeight="1" x14ac:dyDescent="0.25">
      <c r="B92" s="1" t="s">
        <v>1145</v>
      </c>
      <c r="H92" s="2" t="s">
        <v>1162</v>
      </c>
      <c r="I92" s="9">
        <f>'Input (2) &amp; Process (1)'!H142</f>
        <v>0.45050852237954664</v>
      </c>
      <c r="J92" s="28" t="s">
        <v>1026</v>
      </c>
    </row>
  </sheetData>
  <mergeCells count="10">
    <mergeCell ref="B2:F2"/>
    <mergeCell ref="J49:K49"/>
    <mergeCell ref="K88:K89"/>
    <mergeCell ref="B3:F3"/>
    <mergeCell ref="B4:F4"/>
    <mergeCell ref="H7:I7"/>
    <mergeCell ref="B49:C49"/>
    <mergeCell ref="D49:E49"/>
    <mergeCell ref="F49:G49"/>
    <mergeCell ref="H49:I49"/>
  </mergeCells>
  <dataValidations count="1">
    <dataValidation type="list" allowBlank="1" showInputMessage="1" showErrorMessage="1" sqref="H7:I7" xr:uid="{B90F8826-4D20-44CE-841C-A46CC95C5239}">
      <formula1>"Batuan Keras (SA), Batuan (SB), Tanah Keras (SC), Tanah Sedang (SD), Tanah Lunak (SE)"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31E3-3818-4931-A093-5881A3AF0622}">
  <sheetPr codeName="Sheet5">
    <tabColor theme="8" tint="0.79998168889431442"/>
  </sheetPr>
  <dimension ref="A1:AA215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8" customHeight="1" x14ac:dyDescent="0.25"/>
  <cols>
    <col min="1" max="1" width="6.7109375" style="63" customWidth="1"/>
    <col min="2" max="7" width="13.5703125" style="1" customWidth="1"/>
    <col min="8" max="8" width="15.7109375" style="1" customWidth="1"/>
    <col min="9" max="9" width="12.140625" style="1" customWidth="1"/>
    <col min="10" max="10" width="10" style="1" customWidth="1"/>
    <col min="11" max="11" width="9.140625" style="1"/>
    <col min="12" max="12" width="6.7109375" style="1" customWidth="1"/>
    <col min="13" max="27" width="12" style="1" customWidth="1"/>
    <col min="28" max="16384" width="9.140625" style="1"/>
  </cols>
  <sheetData>
    <row r="1" spans="1:22" ht="18.75" customHeight="1" x14ac:dyDescent="0.25">
      <c r="A1" s="213" t="s">
        <v>870</v>
      </c>
      <c r="B1" s="596" t="s">
        <v>871</v>
      </c>
      <c r="C1" s="596"/>
      <c r="D1" s="596"/>
      <c r="E1" s="596"/>
      <c r="F1" s="596"/>
      <c r="G1" s="213" t="s">
        <v>872</v>
      </c>
      <c r="H1" s="213" t="s">
        <v>873</v>
      </c>
      <c r="I1" s="215" t="s">
        <v>874</v>
      </c>
    </row>
    <row r="2" spans="1:22" ht="18" customHeight="1" x14ac:dyDescent="0.25">
      <c r="A2" s="239" t="s">
        <v>733</v>
      </c>
      <c r="B2" s="320" t="s">
        <v>704</v>
      </c>
      <c r="C2" s="42"/>
      <c r="D2" s="42"/>
      <c r="E2" s="42"/>
      <c r="F2" s="42"/>
      <c r="G2" s="42"/>
      <c r="H2" s="42"/>
      <c r="I2" s="43"/>
    </row>
    <row r="3" spans="1:22" ht="18" customHeight="1" x14ac:dyDescent="0.25">
      <c r="A3" s="239" t="s">
        <v>734</v>
      </c>
      <c r="B3" s="320" t="s">
        <v>792</v>
      </c>
      <c r="C3" s="42"/>
      <c r="D3" s="42"/>
      <c r="E3" s="42"/>
      <c r="F3" s="42"/>
      <c r="G3" s="42"/>
      <c r="H3" s="42"/>
      <c r="I3" s="43"/>
    </row>
    <row r="4" spans="1:22" ht="18" customHeight="1" x14ac:dyDescent="0.25">
      <c r="A4" s="239"/>
      <c r="B4" s="41" t="s">
        <v>20</v>
      </c>
      <c r="C4" s="42"/>
      <c r="D4" s="42"/>
      <c r="E4" s="42"/>
      <c r="F4" s="42"/>
      <c r="G4" s="30" t="s">
        <v>21</v>
      </c>
      <c r="H4" s="47">
        <f>'Input (1)'!H24</f>
        <v>40</v>
      </c>
      <c r="I4" s="244" t="s">
        <v>2</v>
      </c>
    </row>
    <row r="5" spans="1:22" ht="18" customHeight="1" x14ac:dyDescent="0.25">
      <c r="A5" s="239"/>
      <c r="B5" s="41" t="s">
        <v>102</v>
      </c>
      <c r="C5" s="42"/>
      <c r="D5" s="42"/>
      <c r="E5" s="42"/>
      <c r="F5" s="42"/>
      <c r="G5" s="30" t="s">
        <v>108</v>
      </c>
      <c r="H5" s="67">
        <f>'Process (2)'!H66</f>
        <v>0.75230000000000019</v>
      </c>
      <c r="I5" s="244" t="s">
        <v>127</v>
      </c>
    </row>
    <row r="6" spans="1:22" ht="18" customHeight="1" x14ac:dyDescent="0.25">
      <c r="A6" s="239"/>
      <c r="B6" s="246" t="s">
        <v>793</v>
      </c>
      <c r="C6" s="247"/>
      <c r="D6" s="247"/>
      <c r="E6" s="247"/>
      <c r="F6" s="247"/>
      <c r="G6" s="57" t="s">
        <v>31</v>
      </c>
      <c r="H6" s="47">
        <f>'Input (1)'!H43</f>
        <v>24</v>
      </c>
      <c r="I6" s="248" t="s">
        <v>32</v>
      </c>
      <c r="J6" s="59"/>
    </row>
    <row r="7" spans="1:22" ht="18" customHeight="1" x14ac:dyDescent="0.25">
      <c r="A7" s="239"/>
      <c r="B7" s="41" t="s">
        <v>794</v>
      </c>
      <c r="C7" s="42"/>
      <c r="D7" s="42"/>
      <c r="E7" s="42"/>
      <c r="F7" s="42"/>
      <c r="G7" s="30" t="s">
        <v>795</v>
      </c>
      <c r="H7" s="47">
        <f>H6*H5</f>
        <v>18.055200000000006</v>
      </c>
      <c r="I7" s="248" t="s">
        <v>39</v>
      </c>
    </row>
    <row r="8" spans="1:22" ht="18" customHeight="1" x14ac:dyDescent="0.25">
      <c r="A8" s="239"/>
      <c r="B8" s="41" t="s">
        <v>686</v>
      </c>
      <c r="C8" s="42"/>
      <c r="D8" s="42"/>
      <c r="E8" s="42"/>
      <c r="F8" s="42"/>
      <c r="G8" s="30" t="s">
        <v>698</v>
      </c>
      <c r="H8" s="47">
        <f>1/8*H7*H4^2</f>
        <v>3611.0400000000013</v>
      </c>
      <c r="I8" s="244" t="s">
        <v>42</v>
      </c>
    </row>
    <row r="9" spans="1:22" ht="18" customHeight="1" x14ac:dyDescent="0.25">
      <c r="A9" s="239"/>
      <c r="B9" s="320"/>
      <c r="C9" s="42"/>
      <c r="D9" s="42"/>
      <c r="E9" s="42"/>
      <c r="F9" s="42"/>
      <c r="G9" s="42"/>
      <c r="H9" s="42"/>
      <c r="I9" s="43"/>
    </row>
    <row r="10" spans="1:22" ht="18" customHeight="1" x14ac:dyDescent="0.25">
      <c r="A10" s="239" t="s">
        <v>735</v>
      </c>
      <c r="B10" s="320" t="s">
        <v>687</v>
      </c>
      <c r="C10" s="42"/>
      <c r="D10" s="42"/>
      <c r="E10" s="42"/>
      <c r="F10" s="42"/>
      <c r="G10" s="42"/>
      <c r="H10" s="42"/>
      <c r="I10" s="43"/>
    </row>
    <row r="11" spans="1:22" ht="18" customHeight="1" x14ac:dyDescent="0.25">
      <c r="A11" s="239"/>
      <c r="B11" s="41" t="s">
        <v>0</v>
      </c>
      <c r="C11" s="42"/>
      <c r="D11" s="42"/>
      <c r="E11" s="42"/>
      <c r="F11" s="42"/>
      <c r="G11" s="30" t="s">
        <v>1</v>
      </c>
      <c r="H11" s="47">
        <f>'Input (1)'!H13</f>
        <v>0.25</v>
      </c>
      <c r="I11" s="244" t="s">
        <v>2</v>
      </c>
    </row>
    <row r="12" spans="1:22" ht="18" customHeight="1" x14ac:dyDescent="0.25">
      <c r="A12" s="239"/>
      <c r="B12" s="41" t="s">
        <v>678</v>
      </c>
      <c r="C12" s="42"/>
      <c r="D12" s="42"/>
      <c r="E12" s="42"/>
      <c r="F12" s="42"/>
      <c r="G12" s="30" t="s">
        <v>11</v>
      </c>
      <c r="H12" s="47">
        <f>'Input (1)'!H18</f>
        <v>1.85</v>
      </c>
      <c r="I12" s="244" t="s">
        <v>2</v>
      </c>
    </row>
    <row r="13" spans="1:22" ht="18" customHeight="1" x14ac:dyDescent="0.25">
      <c r="A13" s="239"/>
      <c r="B13" s="41" t="s">
        <v>679</v>
      </c>
      <c r="C13" s="42"/>
      <c r="D13" s="42"/>
      <c r="E13" s="42"/>
      <c r="F13" s="42"/>
      <c r="G13" s="57" t="s">
        <v>31</v>
      </c>
      <c r="H13" s="47">
        <f>'Input (1)'!H44</f>
        <v>24</v>
      </c>
      <c r="I13" s="248" t="s">
        <v>32</v>
      </c>
    </row>
    <row r="14" spans="1:22" ht="18" customHeight="1" x14ac:dyDescent="0.25">
      <c r="A14" s="239"/>
      <c r="B14" s="41" t="s">
        <v>684</v>
      </c>
      <c r="C14" s="42"/>
      <c r="D14" s="42"/>
      <c r="E14" s="42"/>
      <c r="F14" s="42"/>
      <c r="G14" s="30" t="s">
        <v>685</v>
      </c>
      <c r="H14" s="47">
        <f>H11*H12*H13</f>
        <v>11.100000000000001</v>
      </c>
      <c r="I14" s="248" t="s">
        <v>39</v>
      </c>
    </row>
    <row r="15" spans="1:22" ht="18" customHeight="1" x14ac:dyDescent="0.25">
      <c r="A15" s="239"/>
      <c r="B15" s="41" t="s">
        <v>686</v>
      </c>
      <c r="C15" s="42"/>
      <c r="D15" s="42"/>
      <c r="E15" s="42"/>
      <c r="F15" s="42"/>
      <c r="G15" s="30" t="s">
        <v>797</v>
      </c>
      <c r="H15" s="47">
        <f>1/8*H14*H4^2</f>
        <v>2220.0000000000005</v>
      </c>
      <c r="I15" s="244" t="s">
        <v>42</v>
      </c>
      <c r="V15" s="405" t="s">
        <v>1081</v>
      </c>
    </row>
    <row r="16" spans="1:22" ht="18" customHeight="1" x14ac:dyDescent="0.25">
      <c r="A16" s="239"/>
      <c r="B16" s="41"/>
      <c r="C16" s="42"/>
      <c r="D16" s="42"/>
      <c r="E16" s="42"/>
      <c r="F16" s="42"/>
      <c r="G16" s="42"/>
      <c r="H16" s="42"/>
      <c r="I16" s="43"/>
    </row>
    <row r="17" spans="1:9" ht="18" customHeight="1" x14ac:dyDescent="0.25">
      <c r="A17" s="239" t="s">
        <v>798</v>
      </c>
      <c r="B17" s="320" t="s">
        <v>688</v>
      </c>
      <c r="C17" s="42"/>
      <c r="D17" s="42"/>
      <c r="E17" s="42"/>
      <c r="F17" s="42"/>
      <c r="G17" s="42"/>
      <c r="H17" s="42"/>
      <c r="I17" s="43"/>
    </row>
    <row r="18" spans="1:9" ht="18" customHeight="1" x14ac:dyDescent="0.25">
      <c r="A18" s="239"/>
      <c r="B18" s="41" t="s">
        <v>689</v>
      </c>
      <c r="C18" s="42"/>
      <c r="D18" s="42"/>
      <c r="E18" s="42"/>
      <c r="F18" s="42"/>
      <c r="G18" s="30" t="s">
        <v>132</v>
      </c>
      <c r="H18" s="182">
        <f>'Input (1)'!H22</f>
        <v>9</v>
      </c>
      <c r="I18" s="244"/>
    </row>
    <row r="19" spans="1:9" ht="18" customHeight="1" x14ac:dyDescent="0.25">
      <c r="A19" s="239"/>
      <c r="B19" s="41" t="s">
        <v>690</v>
      </c>
      <c r="C19" s="42"/>
      <c r="D19" s="42"/>
      <c r="E19" s="42"/>
      <c r="F19" s="42"/>
      <c r="G19" s="30" t="str">
        <f>IF(H18=3,"X2 =",IF(H18=5,"X3 =",IF(H18=7,"X4 =",IF(H18=9,"X5 =",""))))</f>
        <v>X5 =</v>
      </c>
      <c r="H19" s="6">
        <f>H4/2</f>
        <v>20</v>
      </c>
      <c r="I19" s="244" t="s">
        <v>2</v>
      </c>
    </row>
    <row r="20" spans="1:9" ht="18" customHeight="1" x14ac:dyDescent="0.25">
      <c r="A20" s="239"/>
      <c r="B20" s="41"/>
      <c r="C20" s="42"/>
      <c r="D20" s="42"/>
      <c r="E20" s="42"/>
      <c r="F20" s="42"/>
      <c r="G20" s="30" t="str">
        <f>IF(H18=3,"X1 =",IF(H18=5,"X2 =",IF(H18=7,"X3 =",IF(H18=9,"X4 =",""))))</f>
        <v>X4 =</v>
      </c>
      <c r="H20" s="6">
        <f>IF(H18=3,0,IF(H18=5,0.25*H4,IF(H18=7,2/6*H4,IF(H18=9,3/8*H4,""))))</f>
        <v>15</v>
      </c>
      <c r="I20" s="244" t="s">
        <v>2</v>
      </c>
    </row>
    <row r="21" spans="1:9" ht="18" customHeight="1" x14ac:dyDescent="0.25">
      <c r="A21" s="239"/>
      <c r="B21" s="41"/>
      <c r="C21" s="42"/>
      <c r="D21" s="42"/>
      <c r="E21" s="42"/>
      <c r="F21" s="42"/>
      <c r="G21" s="30" t="str">
        <f>IF(H18&lt;3,"",IF(H18=5,"X1 =",IF(H18=7,"X2 =",IF(H18=9,"X3 =",""))))</f>
        <v>X3 =</v>
      </c>
      <c r="H21" s="6">
        <f>IF(H18=5,0,IF(H18=7,1/6*H4,IF(H18=9,2/8*H4,"")))</f>
        <v>10</v>
      </c>
      <c r="I21" s="244" t="s">
        <v>2</v>
      </c>
    </row>
    <row r="22" spans="1:9" ht="18" customHeight="1" x14ac:dyDescent="0.25">
      <c r="A22" s="239"/>
      <c r="B22" s="41"/>
      <c r="C22" s="42"/>
      <c r="D22" s="42"/>
      <c r="E22" s="42"/>
      <c r="F22" s="42"/>
      <c r="G22" s="30" t="str">
        <f>IF(H18&lt;5,"",IF(H18=7,"X1 =",IF(H18=9,"X2 =","")))</f>
        <v>X2 =</v>
      </c>
      <c r="H22" s="6">
        <f>IF(H18=7,0,IF(H18=9,1/8*H4,""))</f>
        <v>5</v>
      </c>
      <c r="I22" s="244" t="s">
        <v>2</v>
      </c>
    </row>
    <row r="23" spans="1:9" ht="18" customHeight="1" x14ac:dyDescent="0.25">
      <c r="A23" s="239"/>
      <c r="B23" s="41"/>
      <c r="C23" s="42"/>
      <c r="D23" s="42"/>
      <c r="E23" s="42"/>
      <c r="F23" s="42"/>
      <c r="G23" s="30" t="str">
        <f>IF(H18&lt;7,"",IF(H18=9,"X1 =",""))</f>
        <v>X1 =</v>
      </c>
      <c r="H23" s="6">
        <f>IF(H18=9,0,"")</f>
        <v>0</v>
      </c>
      <c r="I23" s="244" t="s">
        <v>2</v>
      </c>
    </row>
    <row r="24" spans="1:9" ht="18" customHeight="1" x14ac:dyDescent="0.25">
      <c r="A24" s="239"/>
      <c r="B24" s="41"/>
      <c r="C24" s="42"/>
      <c r="D24" s="42"/>
      <c r="E24" s="42"/>
      <c r="F24" s="42"/>
      <c r="G24" s="42"/>
      <c r="H24" s="42"/>
      <c r="I24" s="43"/>
    </row>
    <row r="25" spans="1:9" ht="18" customHeight="1" x14ac:dyDescent="0.25">
      <c r="A25" s="239"/>
      <c r="B25" s="272" t="s">
        <v>691</v>
      </c>
      <c r="C25" s="89"/>
      <c r="D25" s="89"/>
      <c r="E25" s="89"/>
      <c r="F25" s="89"/>
      <c r="G25" s="253" t="s">
        <v>692</v>
      </c>
      <c r="H25" s="25">
        <f>'Input (1)'!H23</f>
        <v>0.2</v>
      </c>
      <c r="I25" s="273" t="s">
        <v>2</v>
      </c>
    </row>
    <row r="26" spans="1:9" ht="18" customHeight="1" x14ac:dyDescent="0.25">
      <c r="A26" s="239"/>
      <c r="B26" s="272"/>
      <c r="C26" s="89"/>
      <c r="D26" s="89"/>
      <c r="E26" s="89"/>
      <c r="F26" s="89"/>
      <c r="G26" s="253" t="s">
        <v>694</v>
      </c>
      <c r="H26" s="140">
        <f>'Process (2)'!H8</f>
        <v>1.6500000000000001</v>
      </c>
      <c r="I26" s="273" t="s">
        <v>2</v>
      </c>
    </row>
    <row r="27" spans="1:9" ht="18" customHeight="1" x14ac:dyDescent="0.25">
      <c r="A27" s="239"/>
      <c r="B27" s="272"/>
      <c r="C27" s="89"/>
      <c r="D27" s="89"/>
      <c r="E27" s="89"/>
      <c r="F27" s="89"/>
      <c r="G27" s="253" t="s">
        <v>693</v>
      </c>
      <c r="H27" s="140">
        <f>'Input (1)'!H18</f>
        <v>1.85</v>
      </c>
      <c r="I27" s="273" t="s">
        <v>2</v>
      </c>
    </row>
    <row r="28" spans="1:9" ht="18" customHeight="1" x14ac:dyDescent="0.25">
      <c r="A28" s="239"/>
      <c r="B28" s="272" t="s">
        <v>695</v>
      </c>
      <c r="C28" s="89"/>
      <c r="D28" s="89"/>
      <c r="E28" s="89"/>
      <c r="F28" s="89"/>
      <c r="G28" s="253" t="s">
        <v>696</v>
      </c>
      <c r="H28" s="148">
        <f>H25*H26*H27*H13</f>
        <v>14.652000000000005</v>
      </c>
      <c r="I28" s="273" t="s">
        <v>40</v>
      </c>
    </row>
    <row r="29" spans="1:9" ht="18" customHeight="1" x14ac:dyDescent="0.25">
      <c r="A29" s="239"/>
      <c r="B29" s="41" t="s">
        <v>697</v>
      </c>
      <c r="C29" s="42"/>
      <c r="D29" s="42"/>
      <c r="E29" s="42"/>
      <c r="F29" s="42"/>
      <c r="G29" s="30" t="s">
        <v>799</v>
      </c>
      <c r="H29" s="207">
        <f>IF(H18=3,1/4*H28*H4,IF(H18=5,2/4*H28*H4,IF(H18=7,3/4*H28*H4,IF(H18=9,4/4*H28*H4,"[ EROR ]"))))</f>
        <v>586.08000000000015</v>
      </c>
      <c r="I29" s="244" t="s">
        <v>42</v>
      </c>
    </row>
    <row r="30" spans="1:9" ht="18" customHeight="1" x14ac:dyDescent="0.25">
      <c r="A30" s="239"/>
      <c r="B30" s="41"/>
      <c r="C30" s="42"/>
      <c r="D30" s="42"/>
      <c r="E30" s="42"/>
      <c r="F30" s="42"/>
      <c r="G30" s="42"/>
      <c r="H30" s="42"/>
      <c r="I30" s="43"/>
    </row>
    <row r="31" spans="1:9" s="8" customFormat="1" ht="18" customHeight="1" x14ac:dyDescent="0.25">
      <c r="A31" s="239" t="s">
        <v>736</v>
      </c>
      <c r="B31" s="320" t="s">
        <v>801</v>
      </c>
      <c r="C31" s="89"/>
      <c r="D31" s="89"/>
      <c r="E31" s="89"/>
      <c r="F31" s="89"/>
      <c r="G31" s="89"/>
      <c r="H31" s="89"/>
      <c r="I31" s="321"/>
    </row>
    <row r="32" spans="1:9" s="8" customFormat="1" ht="18" customHeight="1" x14ac:dyDescent="0.25">
      <c r="A32" s="318"/>
      <c r="B32" s="246" t="s">
        <v>802</v>
      </c>
      <c r="C32" s="89"/>
      <c r="D32" s="89"/>
      <c r="E32" s="89"/>
      <c r="F32" s="89"/>
      <c r="G32" s="30" t="s">
        <v>374</v>
      </c>
      <c r="H32" s="67">
        <f>'Input (3) &amp; Process (4)'!H127</f>
        <v>7579.4128750556474</v>
      </c>
      <c r="I32" s="244" t="s">
        <v>40</v>
      </c>
    </row>
    <row r="33" spans="1:9" s="8" customFormat="1" ht="18" customHeight="1" x14ac:dyDescent="0.25">
      <c r="A33" s="318"/>
      <c r="B33" s="272" t="s">
        <v>803</v>
      </c>
      <c r="C33" s="89"/>
      <c r="D33" s="89"/>
      <c r="E33" s="89"/>
      <c r="F33" s="89"/>
      <c r="G33" s="30" t="s">
        <v>401</v>
      </c>
      <c r="H33" s="67">
        <f>'Process (2)'!H148</f>
        <v>0.81195046302450269</v>
      </c>
      <c r="I33" s="244" t="s">
        <v>2</v>
      </c>
    </row>
    <row r="34" spans="1:9" s="8" customFormat="1" ht="18" customHeight="1" x14ac:dyDescent="0.25">
      <c r="A34" s="318"/>
      <c r="B34" s="272" t="s">
        <v>804</v>
      </c>
      <c r="C34" s="89"/>
      <c r="D34" s="89"/>
      <c r="E34" s="89"/>
      <c r="F34" s="89"/>
      <c r="G34" s="30" t="s">
        <v>805</v>
      </c>
      <c r="H34" s="67">
        <v>0</v>
      </c>
      <c r="I34" s="244" t="s">
        <v>2</v>
      </c>
    </row>
    <row r="35" spans="1:9" s="8" customFormat="1" ht="18" customHeight="1" x14ac:dyDescent="0.25">
      <c r="A35" s="318"/>
      <c r="B35" s="272" t="s">
        <v>806</v>
      </c>
      <c r="C35" s="89"/>
      <c r="D35" s="89"/>
      <c r="E35" s="89"/>
      <c r="F35" s="89"/>
      <c r="G35" s="253" t="s">
        <v>807</v>
      </c>
      <c r="H35" s="67">
        <f>ABS(H33)+ABS(H34)</f>
        <v>0.81195046302450269</v>
      </c>
      <c r="I35" s="244" t="s">
        <v>2</v>
      </c>
    </row>
    <row r="36" spans="1:9" s="8" customFormat="1" ht="18" customHeight="1" x14ac:dyDescent="0.25">
      <c r="A36" s="318"/>
      <c r="B36" s="272" t="s">
        <v>808</v>
      </c>
      <c r="C36" s="89"/>
      <c r="D36" s="89"/>
      <c r="E36" s="89"/>
      <c r="F36" s="89"/>
      <c r="G36" s="253" t="s">
        <v>809</v>
      </c>
      <c r="H36" s="67">
        <f>8*H35*H32/H4^2</f>
        <v>30.770538966776549</v>
      </c>
      <c r="I36" s="244" t="s">
        <v>39</v>
      </c>
    </row>
    <row r="37" spans="1:9" s="8" customFormat="1" ht="18" customHeight="1" x14ac:dyDescent="0.25">
      <c r="A37" s="318"/>
      <c r="B37" s="41" t="s">
        <v>810</v>
      </c>
      <c r="C37" s="42"/>
      <c r="D37" s="42"/>
      <c r="E37" s="42"/>
      <c r="F37" s="42"/>
      <c r="G37" s="30" t="s">
        <v>811</v>
      </c>
      <c r="H37" s="67">
        <f>1/8*H36*H4^2</f>
        <v>6154.1077933553097</v>
      </c>
      <c r="I37" s="244" t="s">
        <v>42</v>
      </c>
    </row>
    <row r="38" spans="1:9" s="8" customFormat="1" ht="18" customHeight="1" x14ac:dyDescent="0.25">
      <c r="A38" s="318"/>
      <c r="B38" s="272"/>
      <c r="C38" s="89"/>
      <c r="D38" s="89"/>
      <c r="E38" s="89"/>
      <c r="F38" s="89"/>
      <c r="G38" s="89"/>
      <c r="H38" s="89"/>
      <c r="I38" s="321"/>
    </row>
    <row r="39" spans="1:9" ht="18" customHeight="1" x14ac:dyDescent="0.25">
      <c r="A39" s="239" t="s">
        <v>737</v>
      </c>
      <c r="B39" s="320" t="s">
        <v>705</v>
      </c>
      <c r="C39" s="42"/>
      <c r="D39" s="42"/>
      <c r="E39" s="42"/>
      <c r="F39" s="42"/>
      <c r="G39" s="42"/>
      <c r="H39" s="42"/>
      <c r="I39" s="43"/>
    </row>
    <row r="40" spans="1:9" ht="18" customHeight="1" x14ac:dyDescent="0.25">
      <c r="A40" s="239" t="s">
        <v>738</v>
      </c>
      <c r="B40" s="320" t="s">
        <v>706</v>
      </c>
      <c r="C40" s="42"/>
      <c r="D40" s="42"/>
      <c r="E40" s="42"/>
      <c r="F40" s="42"/>
      <c r="G40" s="42"/>
      <c r="H40" s="42"/>
      <c r="I40" s="43"/>
    </row>
    <row r="41" spans="1:9" ht="18" customHeight="1" x14ac:dyDescent="0.25">
      <c r="A41" s="239"/>
      <c r="B41" s="41" t="s">
        <v>6</v>
      </c>
      <c r="C41" s="42"/>
      <c r="D41" s="42"/>
      <c r="E41" s="42"/>
      <c r="F41" s="42"/>
      <c r="G41" s="30" t="s">
        <v>7</v>
      </c>
      <c r="H41" s="184">
        <f>'Input (1)'!H16</f>
        <v>0.1</v>
      </c>
      <c r="I41" s="244" t="s">
        <v>2</v>
      </c>
    </row>
    <row r="42" spans="1:9" ht="18" customHeight="1" x14ac:dyDescent="0.25">
      <c r="A42" s="239"/>
      <c r="B42" s="41" t="s">
        <v>34</v>
      </c>
      <c r="C42" s="42"/>
      <c r="D42" s="42"/>
      <c r="E42" s="42"/>
      <c r="F42" s="42"/>
      <c r="G42" s="30" t="s">
        <v>35</v>
      </c>
      <c r="H42" s="184">
        <f>'Input (1)'!H46</f>
        <v>22</v>
      </c>
      <c r="I42" s="244" t="s">
        <v>32</v>
      </c>
    </row>
    <row r="43" spans="1:9" ht="18" customHeight="1" x14ac:dyDescent="0.25">
      <c r="A43" s="239"/>
      <c r="B43" s="41" t="s">
        <v>701</v>
      </c>
      <c r="C43" s="42"/>
      <c r="D43" s="42"/>
      <c r="E43" s="42"/>
      <c r="F43" s="42"/>
      <c r="G43" s="30" t="s">
        <v>711</v>
      </c>
      <c r="H43" s="184">
        <f>H41*H12*H42</f>
        <v>4.07</v>
      </c>
      <c r="I43" s="244" t="s">
        <v>702</v>
      </c>
    </row>
    <row r="44" spans="1:9" ht="18" customHeight="1" x14ac:dyDescent="0.25">
      <c r="A44" s="239"/>
      <c r="B44" s="41" t="s">
        <v>707</v>
      </c>
      <c r="C44" s="42"/>
      <c r="D44" s="42"/>
      <c r="E44" s="42"/>
      <c r="F44" s="42"/>
      <c r="G44" s="30" t="s">
        <v>709</v>
      </c>
      <c r="H44" s="6">
        <f>1/8*H43*H4^2</f>
        <v>814</v>
      </c>
      <c r="I44" s="244" t="s">
        <v>42</v>
      </c>
    </row>
    <row r="45" spans="1:9" ht="18" customHeight="1" x14ac:dyDescent="0.25">
      <c r="A45" s="239"/>
      <c r="B45" s="41"/>
      <c r="C45" s="42"/>
      <c r="D45" s="42"/>
      <c r="E45" s="42"/>
      <c r="F45" s="42"/>
      <c r="G45" s="30"/>
      <c r="H45" s="17"/>
      <c r="I45" s="322"/>
    </row>
    <row r="46" spans="1:9" ht="18" customHeight="1" x14ac:dyDescent="0.25">
      <c r="A46" s="239" t="s">
        <v>739</v>
      </c>
      <c r="B46" s="320" t="s">
        <v>708</v>
      </c>
      <c r="C46" s="42"/>
      <c r="D46" s="42"/>
      <c r="E46" s="42"/>
      <c r="F46" s="42"/>
      <c r="G46" s="30"/>
      <c r="H46" s="17"/>
      <c r="I46" s="322"/>
    </row>
    <row r="47" spans="1:9" ht="18" customHeight="1" x14ac:dyDescent="0.25">
      <c r="A47" s="239"/>
      <c r="B47" s="41" t="s">
        <v>8</v>
      </c>
      <c r="C47" s="42"/>
      <c r="D47" s="42"/>
      <c r="E47" s="42"/>
      <c r="F47" s="42"/>
      <c r="G47" s="30" t="s">
        <v>9</v>
      </c>
      <c r="H47" s="184">
        <f>'Input (1)'!H17</f>
        <v>0.05</v>
      </c>
      <c r="I47" s="244" t="s">
        <v>2</v>
      </c>
    </row>
    <row r="48" spans="1:9" ht="18" customHeight="1" x14ac:dyDescent="0.25">
      <c r="A48" s="239"/>
      <c r="B48" s="41" t="s">
        <v>36</v>
      </c>
      <c r="C48" s="42"/>
      <c r="D48" s="42"/>
      <c r="E48" s="42"/>
      <c r="F48" s="42"/>
      <c r="G48" s="30" t="s">
        <v>37</v>
      </c>
      <c r="H48" s="184">
        <f>'Input (1)'!H47</f>
        <v>9.8000000000000007</v>
      </c>
      <c r="I48" s="244" t="s">
        <v>32</v>
      </c>
    </row>
    <row r="49" spans="1:9" ht="18" customHeight="1" x14ac:dyDescent="0.25">
      <c r="A49" s="239"/>
      <c r="B49" s="41" t="s">
        <v>703</v>
      </c>
      <c r="C49" s="42"/>
      <c r="D49" s="42"/>
      <c r="E49" s="42"/>
      <c r="F49" s="42"/>
      <c r="G49" s="30" t="s">
        <v>712</v>
      </c>
      <c r="H49" s="184">
        <f>H47*H12*H48</f>
        <v>0.90650000000000019</v>
      </c>
      <c r="I49" s="244" t="s">
        <v>702</v>
      </c>
    </row>
    <row r="50" spans="1:9" ht="18" customHeight="1" x14ac:dyDescent="0.25">
      <c r="A50" s="239"/>
      <c r="B50" s="41" t="s">
        <v>707</v>
      </c>
      <c r="C50" s="42"/>
      <c r="D50" s="42"/>
      <c r="E50" s="42"/>
      <c r="F50" s="42"/>
      <c r="G50" s="30" t="s">
        <v>710</v>
      </c>
      <c r="H50" s="6">
        <f>1/8*H49*H4^2</f>
        <v>181.30000000000004</v>
      </c>
      <c r="I50" s="244" t="s">
        <v>42</v>
      </c>
    </row>
    <row r="51" spans="1:9" ht="18" customHeight="1" x14ac:dyDescent="0.25">
      <c r="A51" s="239"/>
      <c r="B51" s="41"/>
      <c r="C51" s="42"/>
      <c r="D51" s="42"/>
      <c r="E51" s="42"/>
      <c r="F51" s="42"/>
      <c r="G51" s="42"/>
      <c r="H51" s="42"/>
      <c r="I51" s="43"/>
    </row>
    <row r="52" spans="1:9" ht="18" customHeight="1" x14ac:dyDescent="0.25">
      <c r="A52" s="239" t="s">
        <v>753</v>
      </c>
      <c r="B52" s="320" t="s">
        <v>713</v>
      </c>
      <c r="C52" s="42"/>
      <c r="D52" s="42"/>
      <c r="E52" s="42"/>
      <c r="F52" s="42"/>
      <c r="G52" s="42"/>
      <c r="H52" s="42"/>
      <c r="I52" s="43"/>
    </row>
    <row r="53" spans="1:9" ht="18" customHeight="1" x14ac:dyDescent="0.25">
      <c r="A53" s="239"/>
      <c r="B53" s="320" t="s">
        <v>715</v>
      </c>
      <c r="C53" s="42"/>
      <c r="D53" s="42"/>
      <c r="E53" s="42"/>
      <c r="F53" s="42"/>
      <c r="G53" s="42"/>
      <c r="H53" s="42"/>
      <c r="I53" s="43"/>
    </row>
    <row r="54" spans="1:9" ht="18" customHeight="1" x14ac:dyDescent="0.25">
      <c r="A54" s="239"/>
      <c r="B54" s="41" t="s">
        <v>20</v>
      </c>
      <c r="C54" s="42"/>
      <c r="D54" s="42"/>
      <c r="E54" s="42"/>
      <c r="F54" s="42"/>
      <c r="G54" s="30" t="s">
        <v>21</v>
      </c>
      <c r="H54" s="184">
        <f>H4</f>
        <v>40</v>
      </c>
      <c r="I54" s="244" t="s">
        <v>2</v>
      </c>
    </row>
    <row r="55" spans="1:9" ht="18" customHeight="1" x14ac:dyDescent="0.25">
      <c r="A55" s="239"/>
      <c r="B55" s="41" t="s">
        <v>716</v>
      </c>
      <c r="C55" s="42"/>
      <c r="D55" s="42"/>
      <c r="E55" s="42"/>
      <c r="F55" s="42"/>
      <c r="G55" s="30" t="str">
        <f>IF(H54&gt;30,"BTR = 9 * (0,5 +15/L) =","BTR =")</f>
        <v>BTR = 9 * (0,5 +15/L) =</v>
      </c>
      <c r="H55" s="185">
        <f>IF(H54&gt;30,9*(0.5+15/H54),9)</f>
        <v>7.875</v>
      </c>
      <c r="I55" s="244" t="s">
        <v>702</v>
      </c>
    </row>
    <row r="56" spans="1:9" ht="18" customHeight="1" x14ac:dyDescent="0.25">
      <c r="A56" s="239"/>
      <c r="B56" s="41" t="s">
        <v>717</v>
      </c>
      <c r="C56" s="42"/>
      <c r="D56" s="42"/>
      <c r="E56" s="42"/>
      <c r="F56" s="42"/>
      <c r="G56" s="30" t="s">
        <v>718</v>
      </c>
      <c r="H56" s="185">
        <v>49</v>
      </c>
      <c r="I56" s="244" t="s">
        <v>39</v>
      </c>
    </row>
    <row r="57" spans="1:9" ht="18" customHeight="1" x14ac:dyDescent="0.25">
      <c r="A57" s="239"/>
      <c r="B57" s="41" t="s">
        <v>719</v>
      </c>
      <c r="C57" s="42"/>
      <c r="D57" s="42"/>
      <c r="E57" s="42"/>
      <c r="F57" s="42"/>
      <c r="G57" s="30"/>
      <c r="H57" s="187"/>
      <c r="I57" s="322"/>
    </row>
    <row r="58" spans="1:9" ht="18" customHeight="1" x14ac:dyDescent="0.25">
      <c r="A58" s="239"/>
      <c r="B58" s="323" t="s">
        <v>720</v>
      </c>
      <c r="C58" s="42"/>
      <c r="D58" s="42"/>
      <c r="E58" s="42"/>
      <c r="F58" s="42"/>
      <c r="G58" s="30" t="s">
        <v>721</v>
      </c>
      <c r="H58" s="186">
        <f>IF(H54&lt;=50,0.4,"-")</f>
        <v>0.4</v>
      </c>
      <c r="I58" s="322"/>
    </row>
    <row r="59" spans="1:9" ht="18" customHeight="1" x14ac:dyDescent="0.25">
      <c r="A59" s="239"/>
      <c r="B59" s="323" t="s">
        <v>722</v>
      </c>
      <c r="C59" s="42"/>
      <c r="D59" s="42"/>
      <c r="E59" s="42"/>
      <c r="F59" s="42"/>
      <c r="G59" s="30" t="s">
        <v>721</v>
      </c>
      <c r="H59" s="186" t="str">
        <f>IF(H54&gt;50,IF(H54&lt;90,(0.4-(H54-50)/40*0.1),"-"),"-")</f>
        <v>-</v>
      </c>
      <c r="I59" s="322"/>
    </row>
    <row r="60" spans="1:9" ht="18" customHeight="1" x14ac:dyDescent="0.25">
      <c r="A60" s="239"/>
      <c r="B60" s="323" t="s">
        <v>723</v>
      </c>
      <c r="C60" s="42"/>
      <c r="D60" s="42"/>
      <c r="E60" s="42"/>
      <c r="F60" s="42"/>
      <c r="G60" s="30" t="s">
        <v>721</v>
      </c>
      <c r="H60" s="186" t="str">
        <f>IF(H54&gt;90,0.3,"-")</f>
        <v>-</v>
      </c>
      <c r="I60" s="322"/>
    </row>
    <row r="61" spans="1:9" ht="18" customHeight="1" x14ac:dyDescent="0.25">
      <c r="A61" s="239"/>
      <c r="B61" s="41"/>
      <c r="C61" s="42"/>
      <c r="D61" s="42"/>
      <c r="E61" s="42"/>
      <c r="F61" s="42"/>
      <c r="G61" s="30" t="s">
        <v>724</v>
      </c>
      <c r="H61" s="186">
        <f>MAX(H58:H60)</f>
        <v>0.4</v>
      </c>
      <c r="I61" s="322"/>
    </row>
    <row r="62" spans="1:9" ht="18" customHeight="1" x14ac:dyDescent="0.25">
      <c r="A62" s="239"/>
      <c r="B62" s="41" t="s">
        <v>717</v>
      </c>
      <c r="C62" s="42"/>
      <c r="D62" s="42"/>
      <c r="E62" s="42"/>
      <c r="F62" s="42"/>
      <c r="G62" s="30" t="s">
        <v>725</v>
      </c>
      <c r="H62" s="185">
        <f>(1+H61)*H56</f>
        <v>68.599999999999994</v>
      </c>
      <c r="I62" s="244" t="s">
        <v>39</v>
      </c>
    </row>
    <row r="63" spans="1:9" ht="18" customHeight="1" x14ac:dyDescent="0.25">
      <c r="A63" s="239"/>
      <c r="B63" s="41" t="s">
        <v>455</v>
      </c>
      <c r="C63" s="42"/>
      <c r="D63" s="42"/>
      <c r="E63" s="42"/>
      <c r="F63" s="42"/>
      <c r="G63" s="42"/>
      <c r="H63" s="42"/>
      <c r="I63" s="43"/>
    </row>
    <row r="64" spans="1:9" ht="18" customHeight="1" x14ac:dyDescent="0.25">
      <c r="A64" s="239"/>
      <c r="B64" s="41"/>
      <c r="C64" s="42"/>
      <c r="D64" s="42"/>
      <c r="E64" s="42"/>
      <c r="F64" s="42"/>
      <c r="G64" s="30" t="s">
        <v>779</v>
      </c>
      <c r="H64" s="6">
        <f>(1/8*H55*H54+1/4*H62)*H54*'Input (1)'!H18</f>
        <v>4182.8500000000004</v>
      </c>
      <c r="I64" s="244" t="s">
        <v>42</v>
      </c>
    </row>
    <row r="65" spans="1:9" ht="18" customHeight="1" x14ac:dyDescent="0.25">
      <c r="A65" s="239"/>
      <c r="B65" s="41"/>
      <c r="C65" s="42"/>
      <c r="D65" s="42"/>
      <c r="E65" s="42"/>
      <c r="F65" s="42"/>
      <c r="G65" s="42"/>
      <c r="H65" s="42"/>
      <c r="I65" s="43"/>
    </row>
    <row r="66" spans="1:9" ht="18" customHeight="1" x14ac:dyDescent="0.25">
      <c r="A66" s="239"/>
      <c r="B66" s="320" t="s">
        <v>728</v>
      </c>
      <c r="C66" s="42"/>
      <c r="D66" s="42"/>
      <c r="E66" s="42"/>
      <c r="F66" s="42"/>
      <c r="G66" s="42"/>
      <c r="H66" s="42"/>
      <c r="I66" s="43"/>
    </row>
    <row r="67" spans="1:9" ht="18" customHeight="1" x14ac:dyDescent="0.25">
      <c r="A67" s="239"/>
      <c r="B67" s="320"/>
      <c r="C67" s="42"/>
      <c r="D67" s="42"/>
      <c r="E67" s="42"/>
      <c r="F67" s="42"/>
      <c r="G67" s="324"/>
      <c r="H67" s="31"/>
      <c r="I67" s="244"/>
    </row>
    <row r="68" spans="1:9" ht="18" customHeight="1" x14ac:dyDescent="0.25">
      <c r="A68" s="239"/>
      <c r="B68" s="320"/>
      <c r="C68" s="42"/>
      <c r="D68" s="42"/>
      <c r="E68" s="42"/>
      <c r="F68" s="42"/>
      <c r="G68" s="324"/>
      <c r="H68" s="31"/>
      <c r="I68" s="244"/>
    </row>
    <row r="69" spans="1:9" ht="18" customHeight="1" x14ac:dyDescent="0.25">
      <c r="A69" s="239"/>
      <c r="B69" s="320"/>
      <c r="C69" s="42"/>
      <c r="D69" s="42"/>
      <c r="E69" s="42"/>
      <c r="F69" s="42"/>
      <c r="G69" s="324"/>
      <c r="H69" s="31"/>
      <c r="I69" s="244"/>
    </row>
    <row r="70" spans="1:9" ht="18" customHeight="1" x14ac:dyDescent="0.25">
      <c r="A70" s="239"/>
      <c r="B70" s="320"/>
      <c r="C70" s="42"/>
      <c r="D70" s="42"/>
      <c r="E70" s="42"/>
      <c r="F70" s="42"/>
      <c r="G70" s="324"/>
      <c r="H70" s="31"/>
      <c r="I70" s="244"/>
    </row>
    <row r="71" spans="1:9" ht="18" customHeight="1" x14ac:dyDescent="0.25">
      <c r="A71" s="239"/>
      <c r="B71" s="320"/>
      <c r="C71" s="42"/>
      <c r="D71" s="42"/>
      <c r="E71" s="42"/>
      <c r="F71" s="42"/>
      <c r="G71" s="324"/>
      <c r="H71" s="31"/>
      <c r="I71" s="244"/>
    </row>
    <row r="72" spans="1:9" ht="18" customHeight="1" x14ac:dyDescent="0.25">
      <c r="A72" s="239"/>
      <c r="B72" s="320"/>
      <c r="C72" s="42"/>
      <c r="D72" s="42"/>
      <c r="E72" s="42"/>
      <c r="F72" s="42"/>
      <c r="G72" s="324"/>
      <c r="H72" s="31"/>
      <c r="I72" s="244"/>
    </row>
    <row r="73" spans="1:9" ht="18" customHeight="1" x14ac:dyDescent="0.25">
      <c r="A73" s="239"/>
      <c r="B73" s="320"/>
      <c r="C73" s="42"/>
      <c r="D73" s="42"/>
      <c r="E73" s="42"/>
      <c r="F73" s="42"/>
      <c r="G73" s="324"/>
      <c r="H73" s="31"/>
      <c r="I73" s="244"/>
    </row>
    <row r="74" spans="1:9" ht="18" customHeight="1" x14ac:dyDescent="0.25">
      <c r="A74" s="239"/>
      <c r="B74" s="320"/>
      <c r="C74" s="42"/>
      <c r="D74" s="42"/>
      <c r="E74" s="42"/>
      <c r="F74" s="42"/>
      <c r="G74" s="324"/>
      <c r="H74" s="31"/>
      <c r="I74" s="244"/>
    </row>
    <row r="75" spans="1:9" ht="18" customHeight="1" x14ac:dyDescent="0.25">
      <c r="A75" s="239"/>
      <c r="B75" s="320"/>
      <c r="C75" s="42"/>
      <c r="D75" s="42"/>
      <c r="E75" s="42"/>
      <c r="F75" s="42"/>
      <c r="G75" s="324"/>
      <c r="H75" s="31"/>
      <c r="I75" s="244"/>
    </row>
    <row r="76" spans="1:9" ht="18" customHeight="1" x14ac:dyDescent="0.25">
      <c r="A76" s="239"/>
      <c r="B76" s="320"/>
      <c r="C76" s="42"/>
      <c r="D76" s="42"/>
      <c r="E76" s="42"/>
      <c r="F76" s="42"/>
      <c r="G76" s="324"/>
      <c r="H76" s="31"/>
      <c r="I76" s="244"/>
    </row>
    <row r="77" spans="1:9" ht="18" customHeight="1" x14ac:dyDescent="0.25">
      <c r="A77" s="239"/>
      <c r="B77" s="320"/>
      <c r="C77" s="42"/>
      <c r="D77" s="42"/>
      <c r="E77" s="42"/>
      <c r="F77" s="42"/>
      <c r="G77" s="324"/>
      <c r="H77" s="31"/>
      <c r="I77" s="244"/>
    </row>
    <row r="78" spans="1:9" ht="18" customHeight="1" x14ac:dyDescent="0.25">
      <c r="A78" s="239"/>
      <c r="B78" s="320"/>
      <c r="C78" s="42"/>
      <c r="D78" s="42"/>
      <c r="E78" s="42"/>
      <c r="F78" s="42"/>
      <c r="G78" s="324"/>
      <c r="H78" s="31"/>
      <c r="I78" s="244"/>
    </row>
    <row r="79" spans="1:9" ht="18" customHeight="1" x14ac:dyDescent="0.25">
      <c r="A79" s="239"/>
      <c r="B79" s="320"/>
      <c r="C79" s="42"/>
      <c r="D79" s="42"/>
      <c r="E79" s="42"/>
      <c r="F79" s="42"/>
      <c r="G79" s="324"/>
      <c r="H79" s="31"/>
      <c r="I79" s="244"/>
    </row>
    <row r="80" spans="1:9" ht="18" customHeight="1" x14ac:dyDescent="0.25">
      <c r="A80" s="239"/>
      <c r="B80" s="325" t="s">
        <v>726</v>
      </c>
      <c r="C80" s="42"/>
      <c r="D80" s="42"/>
      <c r="E80" s="42"/>
      <c r="F80" s="42"/>
      <c r="G80" s="324" t="s">
        <v>727</v>
      </c>
      <c r="H80" s="207">
        <f>50+225+225</f>
        <v>500</v>
      </c>
      <c r="I80" s="244" t="s">
        <v>40</v>
      </c>
    </row>
    <row r="81" spans="1:9" ht="18" customHeight="1" x14ac:dyDescent="0.25">
      <c r="A81" s="239"/>
      <c r="B81" s="325" t="s">
        <v>719</v>
      </c>
      <c r="C81" s="42"/>
      <c r="D81" s="42"/>
      <c r="E81" s="42"/>
      <c r="F81" s="42"/>
      <c r="G81" s="30" t="s">
        <v>721</v>
      </c>
      <c r="H81" s="188">
        <v>0.3</v>
      </c>
      <c r="I81" s="244"/>
    </row>
    <row r="82" spans="1:9" ht="18" customHeight="1" x14ac:dyDescent="0.25">
      <c r="A82" s="239"/>
      <c r="B82" s="41" t="s">
        <v>455</v>
      </c>
      <c r="C82" s="42"/>
      <c r="D82" s="42"/>
      <c r="E82" s="42"/>
      <c r="F82" s="42"/>
      <c r="G82" s="30" t="s">
        <v>732</v>
      </c>
      <c r="H82" s="6">
        <f>(1+H81)*(62.45*H54-286.14)</f>
        <v>2875.4180000000001</v>
      </c>
      <c r="I82" s="244" t="s">
        <v>42</v>
      </c>
    </row>
    <row r="83" spans="1:9" ht="18" customHeight="1" x14ac:dyDescent="0.25">
      <c r="A83" s="239"/>
      <c r="B83" s="41"/>
      <c r="C83" s="42"/>
      <c r="D83" s="42"/>
      <c r="E83" s="42"/>
      <c r="F83" s="42"/>
      <c r="G83" s="42"/>
      <c r="H83" s="42"/>
      <c r="I83" s="43"/>
    </row>
    <row r="84" spans="1:9" ht="18" customHeight="1" x14ac:dyDescent="0.25">
      <c r="A84" s="239"/>
      <c r="B84" s="320" t="s">
        <v>714</v>
      </c>
      <c r="C84" s="42"/>
      <c r="D84" s="42"/>
      <c r="E84" s="42"/>
      <c r="F84" s="42"/>
      <c r="G84" s="42"/>
      <c r="H84" s="42"/>
      <c r="I84" s="43"/>
    </row>
    <row r="85" spans="1:9" ht="18" customHeight="1" x14ac:dyDescent="0.25">
      <c r="A85" s="239"/>
      <c r="B85" s="41"/>
      <c r="C85" s="42"/>
      <c r="D85" s="42"/>
      <c r="E85" s="42"/>
      <c r="F85" s="42"/>
      <c r="G85" s="30"/>
      <c r="H85" s="31"/>
      <c r="I85" s="244"/>
    </row>
    <row r="86" spans="1:9" ht="18" customHeight="1" x14ac:dyDescent="0.25">
      <c r="A86" s="239"/>
      <c r="B86" s="41"/>
      <c r="C86" s="42"/>
      <c r="D86" s="42"/>
      <c r="E86" s="42"/>
      <c r="F86" s="42"/>
      <c r="G86" s="30"/>
      <c r="H86" s="31"/>
      <c r="I86" s="244"/>
    </row>
    <row r="87" spans="1:9" ht="18" customHeight="1" x14ac:dyDescent="0.25">
      <c r="A87" s="239"/>
      <c r="B87" s="41"/>
      <c r="C87" s="42"/>
      <c r="D87" s="42"/>
      <c r="E87" s="42"/>
      <c r="F87" s="42"/>
      <c r="G87" s="30"/>
      <c r="H87" s="31"/>
      <c r="I87" s="244"/>
    </row>
    <row r="88" spans="1:9" ht="18" customHeight="1" x14ac:dyDescent="0.25">
      <c r="A88" s="239"/>
      <c r="B88" s="41"/>
      <c r="C88" s="42"/>
      <c r="D88" s="42"/>
      <c r="E88" s="42"/>
      <c r="F88" s="42"/>
      <c r="G88" s="30"/>
      <c r="H88" s="31"/>
      <c r="I88" s="244"/>
    </row>
    <row r="89" spans="1:9" ht="18" customHeight="1" x14ac:dyDescent="0.25">
      <c r="A89" s="239"/>
      <c r="B89" s="41"/>
      <c r="C89" s="42"/>
      <c r="D89" s="42"/>
      <c r="E89" s="42"/>
      <c r="F89" s="42"/>
      <c r="G89" s="30"/>
      <c r="H89" s="31"/>
      <c r="I89" s="244"/>
    </row>
    <row r="90" spans="1:9" ht="18" customHeight="1" x14ac:dyDescent="0.25">
      <c r="A90" s="239"/>
      <c r="B90" s="41"/>
      <c r="C90" s="42"/>
      <c r="D90" s="42"/>
      <c r="E90" s="42"/>
      <c r="F90" s="42"/>
      <c r="G90" s="30"/>
      <c r="H90" s="31"/>
      <c r="I90" s="244"/>
    </row>
    <row r="91" spans="1:9" ht="18" customHeight="1" x14ac:dyDescent="0.25">
      <c r="A91" s="239"/>
      <c r="B91" s="41"/>
      <c r="C91" s="42"/>
      <c r="D91" s="42"/>
      <c r="E91" s="42"/>
      <c r="F91" s="42"/>
      <c r="G91" s="30"/>
      <c r="H91" s="31"/>
      <c r="I91" s="244"/>
    </row>
    <row r="92" spans="1:9" ht="18" customHeight="1" x14ac:dyDescent="0.25">
      <c r="A92" s="239"/>
      <c r="B92" s="41"/>
      <c r="C92" s="42"/>
      <c r="D92" s="42"/>
      <c r="E92" s="42"/>
      <c r="F92" s="42"/>
      <c r="G92" s="30"/>
      <c r="H92" s="31"/>
      <c r="I92" s="244"/>
    </row>
    <row r="93" spans="1:9" ht="18" customHeight="1" x14ac:dyDescent="0.25">
      <c r="A93" s="239"/>
      <c r="B93" s="41"/>
      <c r="C93" s="42"/>
      <c r="D93" s="42"/>
      <c r="E93" s="42"/>
      <c r="F93" s="42"/>
      <c r="G93" s="30"/>
      <c r="H93" s="31"/>
      <c r="I93" s="244"/>
    </row>
    <row r="94" spans="1:9" ht="18" customHeight="1" x14ac:dyDescent="0.25">
      <c r="A94" s="239"/>
      <c r="B94" s="326" t="s">
        <v>740</v>
      </c>
      <c r="C94" s="287"/>
      <c r="D94" s="287"/>
      <c r="E94" s="287"/>
      <c r="F94" s="287"/>
      <c r="G94" s="288" t="s">
        <v>41</v>
      </c>
      <c r="H94" s="51">
        <v>1.8</v>
      </c>
      <c r="I94" s="244" t="s">
        <v>2</v>
      </c>
    </row>
    <row r="95" spans="1:9" ht="18" customHeight="1" x14ac:dyDescent="0.35">
      <c r="A95" s="239"/>
      <c r="B95" s="325" t="s">
        <v>741</v>
      </c>
      <c r="C95" s="287"/>
      <c r="D95" s="287"/>
      <c r="E95" s="287"/>
      <c r="F95" s="287"/>
      <c r="G95" s="288" t="s">
        <v>878</v>
      </c>
      <c r="H95" s="70">
        <f>0.25*H80</f>
        <v>125</v>
      </c>
      <c r="I95" s="244" t="s">
        <v>40</v>
      </c>
    </row>
    <row r="96" spans="1:9" ht="18" customHeight="1" x14ac:dyDescent="0.35">
      <c r="A96" s="239"/>
      <c r="B96" s="325" t="s">
        <v>742</v>
      </c>
      <c r="C96" s="287"/>
      <c r="D96" s="287"/>
      <c r="E96" s="287"/>
      <c r="F96" s="287"/>
      <c r="G96" s="288" t="s">
        <v>879</v>
      </c>
      <c r="H96" s="70">
        <f>5/100*(H81+9*H55*H54*2)</f>
        <v>283.51500000000004</v>
      </c>
      <c r="I96" s="244" t="s">
        <v>40</v>
      </c>
    </row>
    <row r="97" spans="1:10" ht="18" customHeight="1" x14ac:dyDescent="0.25">
      <c r="A97" s="239"/>
      <c r="B97" s="325" t="s">
        <v>880</v>
      </c>
      <c r="C97" s="287"/>
      <c r="D97" s="287"/>
      <c r="E97" s="287"/>
      <c r="F97" s="287"/>
      <c r="G97" s="288" t="s">
        <v>881</v>
      </c>
      <c r="H97" s="70">
        <f>MAX(H95:H96)</f>
        <v>283.51500000000004</v>
      </c>
      <c r="I97" s="244" t="s">
        <v>40</v>
      </c>
    </row>
    <row r="98" spans="1:10" ht="18.75" customHeight="1" x14ac:dyDescent="0.25">
      <c r="A98" s="319"/>
      <c r="B98" s="41" t="s">
        <v>18</v>
      </c>
      <c r="C98" s="42"/>
      <c r="D98" s="42"/>
      <c r="E98" s="42"/>
      <c r="F98" s="42"/>
      <c r="G98" s="30" t="s">
        <v>19</v>
      </c>
      <c r="H98" s="47">
        <f>2*('Input (1)'!H19+'Input (1)'!H20)+'Input (1)'!H21</f>
        <v>11</v>
      </c>
      <c r="I98" s="244" t="s">
        <v>2</v>
      </c>
      <c r="J98" s="116"/>
    </row>
    <row r="99" spans="1:10" ht="18.75" customHeight="1" x14ac:dyDescent="0.25">
      <c r="A99" s="319"/>
      <c r="B99" s="41" t="s">
        <v>883</v>
      </c>
      <c r="C99" s="42"/>
      <c r="D99" s="42"/>
      <c r="E99" s="42"/>
      <c r="F99" s="42"/>
      <c r="G99" s="30" t="s">
        <v>11</v>
      </c>
      <c r="H99" s="47">
        <f>'Input (1)'!H18</f>
        <v>1.85</v>
      </c>
      <c r="I99" s="244" t="s">
        <v>2</v>
      </c>
      <c r="J99" s="116"/>
    </row>
    <row r="100" spans="1:10" ht="18" customHeight="1" x14ac:dyDescent="0.25">
      <c r="A100" s="239"/>
      <c r="B100" s="325" t="s">
        <v>882</v>
      </c>
      <c r="C100" s="287"/>
      <c r="D100" s="287"/>
      <c r="E100" s="287"/>
      <c r="F100" s="287"/>
      <c r="G100" s="288" t="s">
        <v>132</v>
      </c>
      <c r="H100" s="70">
        <f>ROUNDDOWN(H98/H99+1,0)</f>
        <v>6</v>
      </c>
      <c r="I100" s="244"/>
    </row>
    <row r="101" spans="1:10" ht="18" customHeight="1" x14ac:dyDescent="0.25">
      <c r="A101" s="239"/>
      <c r="B101" s="325" t="s">
        <v>743</v>
      </c>
      <c r="C101" s="287"/>
      <c r="D101" s="287"/>
      <c r="E101" s="287"/>
      <c r="F101" s="287"/>
      <c r="G101" s="288" t="s">
        <v>748</v>
      </c>
      <c r="H101" s="50">
        <f>H97/H100</f>
        <v>47.252500000000005</v>
      </c>
      <c r="I101" s="244" t="s">
        <v>40</v>
      </c>
    </row>
    <row r="102" spans="1:10" ht="18" customHeight="1" x14ac:dyDescent="0.25">
      <c r="A102" s="239"/>
      <c r="B102" s="41" t="s">
        <v>744</v>
      </c>
      <c r="C102" s="42"/>
      <c r="D102" s="42"/>
      <c r="E102" s="42"/>
      <c r="F102" s="42"/>
      <c r="G102" s="288" t="s">
        <v>745</v>
      </c>
      <c r="H102" s="50">
        <f>H94+H41+'Process (2)'!H103</f>
        <v>2.8701784669226296</v>
      </c>
      <c r="I102" s="244" t="s">
        <v>2</v>
      </c>
    </row>
    <row r="103" spans="1:10" ht="18" customHeight="1" x14ac:dyDescent="0.25">
      <c r="A103" s="239"/>
      <c r="B103" s="41" t="s">
        <v>746</v>
      </c>
      <c r="C103" s="42"/>
      <c r="D103" s="42"/>
      <c r="E103" s="42"/>
      <c r="F103" s="42"/>
      <c r="G103" s="30" t="s">
        <v>747</v>
      </c>
      <c r="H103" s="70">
        <f>H101*H102</f>
        <v>135.62310800826157</v>
      </c>
      <c r="I103" s="244" t="s">
        <v>42</v>
      </c>
    </row>
    <row r="104" spans="1:10" ht="18" customHeight="1" x14ac:dyDescent="0.25">
      <c r="A104" s="239"/>
      <c r="B104" s="41" t="s">
        <v>749</v>
      </c>
      <c r="C104" s="42"/>
      <c r="D104" s="42"/>
      <c r="E104" s="42"/>
      <c r="F104" s="42"/>
      <c r="G104" s="30" t="s">
        <v>750</v>
      </c>
      <c r="H104" s="6">
        <f>0.5*H103</f>
        <v>67.811554004130784</v>
      </c>
      <c r="I104" s="244" t="s">
        <v>42</v>
      </c>
    </row>
    <row r="105" spans="1:10" ht="18" customHeight="1" x14ac:dyDescent="0.25">
      <c r="A105" s="239"/>
      <c r="B105" s="41"/>
      <c r="C105" s="42"/>
      <c r="D105" s="42"/>
      <c r="E105" s="42"/>
      <c r="F105" s="42"/>
      <c r="G105" s="42"/>
      <c r="H105" s="42"/>
      <c r="I105" s="43"/>
    </row>
    <row r="106" spans="1:10" ht="18" customHeight="1" x14ac:dyDescent="0.25">
      <c r="A106" s="239"/>
      <c r="B106" s="41"/>
      <c r="C106" s="42"/>
      <c r="D106" s="42"/>
      <c r="E106" s="42"/>
      <c r="F106" s="42"/>
      <c r="G106" s="42"/>
      <c r="H106" s="42"/>
      <c r="I106" s="43"/>
    </row>
    <row r="107" spans="1:10" ht="18" customHeight="1" x14ac:dyDescent="0.25">
      <c r="A107" s="239" t="s">
        <v>791</v>
      </c>
      <c r="B107" s="320" t="s">
        <v>755</v>
      </c>
      <c r="C107" s="42"/>
      <c r="D107" s="42"/>
      <c r="E107" s="42"/>
      <c r="F107" s="42"/>
      <c r="G107" s="42"/>
      <c r="H107" s="42"/>
      <c r="I107" s="43"/>
    </row>
    <row r="108" spans="1:10" ht="18" customHeight="1" x14ac:dyDescent="0.25">
      <c r="A108" s="239"/>
      <c r="B108" s="320" t="s">
        <v>754</v>
      </c>
      <c r="C108" s="42"/>
      <c r="D108" s="42"/>
      <c r="E108" s="42"/>
      <c r="F108" s="42"/>
      <c r="G108" s="42"/>
      <c r="H108" s="42"/>
      <c r="I108" s="43"/>
    </row>
    <row r="109" spans="1:10" ht="18" customHeight="1" x14ac:dyDescent="0.25">
      <c r="A109" s="239"/>
      <c r="B109" s="272" t="s">
        <v>780</v>
      </c>
      <c r="C109" s="42"/>
      <c r="D109" s="42"/>
      <c r="E109" s="42"/>
      <c r="F109" s="42"/>
      <c r="G109" s="30" t="s">
        <v>782</v>
      </c>
      <c r="H109" s="207">
        <v>1.8</v>
      </c>
      <c r="I109" s="244" t="s">
        <v>2</v>
      </c>
    </row>
    <row r="110" spans="1:10" ht="18" customHeight="1" x14ac:dyDescent="0.25">
      <c r="A110" s="239"/>
      <c r="B110" s="272" t="s">
        <v>786</v>
      </c>
      <c r="C110" s="42"/>
      <c r="D110" s="42"/>
      <c r="E110" s="42"/>
      <c r="F110" s="42"/>
      <c r="G110" s="30" t="s">
        <v>787</v>
      </c>
      <c r="H110" s="207">
        <v>1.75</v>
      </c>
      <c r="I110" s="244" t="s">
        <v>2</v>
      </c>
    </row>
    <row r="111" spans="1:10" ht="18" customHeight="1" x14ac:dyDescent="0.25">
      <c r="A111" s="239"/>
      <c r="B111" s="272" t="s">
        <v>781</v>
      </c>
      <c r="C111" s="42"/>
      <c r="D111" s="42"/>
      <c r="E111" s="42"/>
      <c r="F111" s="42"/>
      <c r="G111" s="30" t="s">
        <v>783</v>
      </c>
      <c r="H111" s="207">
        <v>1.46</v>
      </c>
      <c r="I111" s="244" t="s">
        <v>39</v>
      </c>
    </row>
    <row r="112" spans="1:10" ht="18" customHeight="1" x14ac:dyDescent="0.25">
      <c r="A112" s="239"/>
      <c r="B112" s="272" t="s">
        <v>784</v>
      </c>
      <c r="C112" s="42"/>
      <c r="D112" s="42"/>
      <c r="E112" s="42"/>
      <c r="F112" s="42"/>
      <c r="G112" s="30" t="s">
        <v>785</v>
      </c>
      <c r="H112" s="67">
        <f>0.5*H109/H110*H111</f>
        <v>0.75085714285714289</v>
      </c>
      <c r="I112" s="244" t="s">
        <v>39</v>
      </c>
    </row>
    <row r="113" spans="1:12" ht="18" customHeight="1" x14ac:dyDescent="0.25">
      <c r="A113" s="239"/>
      <c r="B113" s="41" t="s">
        <v>789</v>
      </c>
      <c r="C113" s="42"/>
      <c r="D113" s="42"/>
      <c r="E113" s="42"/>
      <c r="F113" s="42"/>
      <c r="G113" s="30" t="s">
        <v>790</v>
      </c>
      <c r="H113" s="67">
        <f>1/8*H112*H54^2</f>
        <v>150.17142857142858</v>
      </c>
      <c r="I113" s="244" t="s">
        <v>42</v>
      </c>
    </row>
    <row r="114" spans="1:12" ht="18" customHeight="1" x14ac:dyDescent="0.25">
      <c r="A114" s="239"/>
      <c r="B114" s="41"/>
      <c r="C114" s="42"/>
      <c r="D114" s="42"/>
      <c r="E114" s="42"/>
      <c r="F114" s="42"/>
      <c r="G114" s="42"/>
      <c r="H114" s="42"/>
      <c r="I114" s="43"/>
    </row>
    <row r="115" spans="1:12" ht="18" customHeight="1" x14ac:dyDescent="0.25">
      <c r="A115" s="239"/>
      <c r="B115" s="320" t="s">
        <v>756</v>
      </c>
      <c r="C115" s="42"/>
      <c r="D115" s="42"/>
      <c r="E115" s="42"/>
      <c r="F115" s="42"/>
      <c r="G115" s="42"/>
      <c r="H115" s="42"/>
      <c r="I115" s="43"/>
    </row>
    <row r="116" spans="1:12" ht="18" customHeight="1" x14ac:dyDescent="0.25">
      <c r="A116" s="239"/>
      <c r="B116" s="272" t="s">
        <v>757</v>
      </c>
      <c r="C116" s="42"/>
      <c r="D116" s="42"/>
      <c r="E116" s="42"/>
      <c r="F116" s="42"/>
      <c r="G116" s="30" t="s">
        <v>41</v>
      </c>
      <c r="H116" s="6">
        <f>'Input (1)'!L71/100</f>
        <v>2.1</v>
      </c>
      <c r="I116" s="244" t="s">
        <v>2</v>
      </c>
    </row>
    <row r="117" spans="1:12" ht="18" customHeight="1" x14ac:dyDescent="0.25">
      <c r="A117" s="239"/>
      <c r="B117" s="41" t="s">
        <v>10</v>
      </c>
      <c r="C117" s="42"/>
      <c r="D117" s="42"/>
      <c r="E117" s="42"/>
      <c r="F117" s="42"/>
      <c r="G117" s="30" t="s">
        <v>11</v>
      </c>
      <c r="H117" s="15">
        <f>'Input (1)'!H18</f>
        <v>1.85</v>
      </c>
      <c r="I117" s="244" t="s">
        <v>2</v>
      </c>
    </row>
    <row r="118" spans="1:12" ht="18" customHeight="1" x14ac:dyDescent="0.25">
      <c r="A118" s="239"/>
      <c r="B118" s="41" t="s">
        <v>758</v>
      </c>
      <c r="C118" s="42"/>
      <c r="D118" s="42"/>
      <c r="E118" s="42"/>
      <c r="F118" s="42"/>
      <c r="G118" s="30" t="s">
        <v>759</v>
      </c>
      <c r="H118" s="6">
        <f>'Process (2)'!H102</f>
        <v>1.3798215330773709</v>
      </c>
      <c r="I118" s="244" t="s">
        <v>2</v>
      </c>
    </row>
    <row r="119" spans="1:12" ht="18" customHeight="1" x14ac:dyDescent="0.25">
      <c r="A119" s="239"/>
      <c r="B119" s="41" t="s">
        <v>760</v>
      </c>
      <c r="C119" s="42"/>
      <c r="D119" s="42"/>
      <c r="E119" s="42"/>
      <c r="F119" s="42"/>
      <c r="G119" s="30" t="s">
        <v>761</v>
      </c>
      <c r="H119" s="24">
        <f>'Input (1)'!H86</f>
        <v>19.3</v>
      </c>
      <c r="I119" s="244" t="s">
        <v>762</v>
      </c>
    </row>
    <row r="120" spans="1:12" ht="18" customHeight="1" x14ac:dyDescent="0.25">
      <c r="A120" s="239"/>
      <c r="B120" s="41" t="s">
        <v>763</v>
      </c>
      <c r="C120" s="42"/>
      <c r="D120" s="42"/>
      <c r="E120" s="42"/>
      <c r="F120" s="42"/>
      <c r="G120" s="30" t="s">
        <v>764</v>
      </c>
      <c r="H120" s="24">
        <f>'Input (1)'!H87</f>
        <v>126</v>
      </c>
      <c r="I120" s="244" t="s">
        <v>762</v>
      </c>
    </row>
    <row r="121" spans="1:12" ht="18" customHeight="1" x14ac:dyDescent="0.25">
      <c r="A121" s="239"/>
      <c r="B121" s="41" t="s">
        <v>765</v>
      </c>
      <c r="C121" s="42"/>
      <c r="D121" s="42"/>
      <c r="E121" s="42"/>
      <c r="F121" s="42"/>
      <c r="G121" s="30" t="s">
        <v>766</v>
      </c>
      <c r="H121" s="24">
        <f>'Input (1)'!H88</f>
        <v>90</v>
      </c>
      <c r="I121" s="244" t="s">
        <v>762</v>
      </c>
    </row>
    <row r="122" spans="1:12" ht="18" customHeight="1" x14ac:dyDescent="0.25">
      <c r="A122" s="239"/>
      <c r="B122" s="41" t="s">
        <v>22</v>
      </c>
      <c r="C122" s="42"/>
      <c r="D122" s="42"/>
      <c r="E122" s="42"/>
      <c r="F122" s="42"/>
      <c r="G122" s="30" t="s">
        <v>23</v>
      </c>
      <c r="H122" s="24">
        <f>'Input (1)'!H25</f>
        <v>14</v>
      </c>
      <c r="I122" s="244" t="s">
        <v>2</v>
      </c>
    </row>
    <row r="123" spans="1:12" ht="18" customHeight="1" x14ac:dyDescent="0.25">
      <c r="A123" s="239"/>
      <c r="B123" s="41" t="s">
        <v>767</v>
      </c>
      <c r="C123" s="42"/>
      <c r="D123" s="42"/>
      <c r="E123" s="42"/>
      <c r="F123" s="42"/>
      <c r="G123" s="30" t="s">
        <v>768</v>
      </c>
      <c r="H123" s="24">
        <f>'Input (1)'!H89</f>
        <v>2500</v>
      </c>
      <c r="I123" s="244" t="s">
        <v>5</v>
      </c>
    </row>
    <row r="124" spans="1:12" ht="18" customHeight="1" x14ac:dyDescent="0.25">
      <c r="A124" s="239"/>
      <c r="B124" s="41" t="s">
        <v>769</v>
      </c>
      <c r="C124" s="42"/>
      <c r="D124" s="42"/>
      <c r="E124" s="42"/>
      <c r="F124" s="42"/>
      <c r="G124" s="30" t="s">
        <v>770</v>
      </c>
      <c r="H124" s="25">
        <f>2.5*H119*(H120/H121)*LN(H122/(H123/1000))</f>
        <v>116.37288367741154</v>
      </c>
      <c r="I124" s="244" t="s">
        <v>762</v>
      </c>
    </row>
    <row r="125" spans="1:12" ht="18" customHeight="1" x14ac:dyDescent="0.25">
      <c r="A125" s="239"/>
      <c r="B125" s="41" t="s">
        <v>771</v>
      </c>
      <c r="C125" s="42"/>
      <c r="D125" s="42"/>
      <c r="E125" s="42"/>
      <c r="F125" s="42"/>
      <c r="G125" s="30" t="s">
        <v>772</v>
      </c>
      <c r="H125" s="24">
        <f>'Input (1)'!H90</f>
        <v>2.3999999999999998E-3</v>
      </c>
      <c r="I125" s="244" t="s">
        <v>773</v>
      </c>
    </row>
    <row r="126" spans="1:12" ht="18" customHeight="1" x14ac:dyDescent="0.25">
      <c r="A126" s="239"/>
      <c r="B126" s="41" t="s">
        <v>774</v>
      </c>
      <c r="C126" s="42"/>
      <c r="D126" s="42"/>
      <c r="E126" s="42"/>
      <c r="F126" s="42"/>
      <c r="G126" s="30" t="s">
        <v>775</v>
      </c>
      <c r="H126" s="21">
        <f>H125*(H124/H121)^2</f>
        <v>4.0126364608581789E-3</v>
      </c>
      <c r="I126" s="244" t="s">
        <v>773</v>
      </c>
    </row>
    <row r="127" spans="1:12" ht="18" customHeight="1" x14ac:dyDescent="0.25">
      <c r="A127" s="239"/>
      <c r="B127" s="41" t="s">
        <v>776</v>
      </c>
      <c r="C127" s="42"/>
      <c r="D127" s="42"/>
      <c r="E127" s="42"/>
      <c r="F127" s="42"/>
      <c r="G127" s="30" t="s">
        <v>777</v>
      </c>
      <c r="H127" s="67">
        <f>H126/1000*10^6*H116</f>
        <v>8.4265365678021755</v>
      </c>
      <c r="I127" s="244" t="s">
        <v>39</v>
      </c>
      <c r="L127" s="1" t="s">
        <v>1134</v>
      </c>
    </row>
    <row r="128" spans="1:12" ht="18" customHeight="1" x14ac:dyDescent="0.25">
      <c r="A128" s="239"/>
      <c r="B128" s="41" t="s">
        <v>788</v>
      </c>
      <c r="C128" s="42"/>
      <c r="D128" s="42"/>
      <c r="E128" s="42"/>
      <c r="F128" s="42"/>
      <c r="G128" s="30" t="s">
        <v>778</v>
      </c>
      <c r="H128" s="67">
        <f>1/8*H127/H117*H4^2</f>
        <v>910.97692624888373</v>
      </c>
      <c r="I128" s="244" t="s">
        <v>42</v>
      </c>
    </row>
    <row r="129" spans="1:9" ht="18" customHeight="1" x14ac:dyDescent="0.25">
      <c r="A129" s="239"/>
      <c r="B129" s="41"/>
      <c r="C129" s="42"/>
      <c r="D129" s="42"/>
      <c r="E129" s="42"/>
      <c r="F129" s="42"/>
      <c r="G129" s="42"/>
      <c r="H129" s="42"/>
      <c r="I129" s="43"/>
    </row>
    <row r="130" spans="1:9" ht="18" customHeight="1" x14ac:dyDescent="0.25">
      <c r="A130" s="239"/>
      <c r="B130" s="41"/>
      <c r="C130" s="42"/>
      <c r="D130" s="42"/>
      <c r="E130" s="42"/>
      <c r="F130" s="42"/>
      <c r="G130" s="42"/>
      <c r="H130" s="42"/>
      <c r="I130" s="43"/>
    </row>
    <row r="131" spans="1:9" ht="18" customHeight="1" x14ac:dyDescent="0.25">
      <c r="A131" s="239" t="s">
        <v>812</v>
      </c>
      <c r="B131" s="320" t="s">
        <v>1142</v>
      </c>
      <c r="C131" s="42"/>
      <c r="D131" s="42"/>
      <c r="E131" s="42"/>
      <c r="F131" s="42"/>
      <c r="G131" s="42"/>
      <c r="H131" s="42"/>
      <c r="I131" s="43"/>
    </row>
    <row r="132" spans="1:9" ht="18" customHeight="1" x14ac:dyDescent="0.25">
      <c r="A132" s="239"/>
      <c r="B132" s="1" t="s">
        <v>1019</v>
      </c>
      <c r="G132" s="2" t="s">
        <v>1020</v>
      </c>
      <c r="H132" s="422">
        <f>'Process (2)'!H37</f>
        <v>1.3097797297578684</v>
      </c>
      <c r="I132" s="244" t="s">
        <v>2</v>
      </c>
    </row>
    <row r="133" spans="1:9" ht="18" customHeight="1" x14ac:dyDescent="0.25">
      <c r="A133" s="239"/>
      <c r="B133" s="1" t="s">
        <v>1015</v>
      </c>
      <c r="G133" s="2" t="s">
        <v>1017</v>
      </c>
      <c r="H133" s="422">
        <f>4700*SQRT('Input (1)'!H29)</f>
        <v>33234.018715767736</v>
      </c>
      <c r="I133" s="244" t="s">
        <v>28</v>
      </c>
    </row>
    <row r="134" spans="1:9" ht="18" customHeight="1" x14ac:dyDescent="0.25">
      <c r="A134" s="239"/>
      <c r="B134" s="42" t="s">
        <v>1016</v>
      </c>
      <c r="G134" s="2" t="s">
        <v>438</v>
      </c>
      <c r="H134" s="422">
        <f>'Process (2)'!H104</f>
        <v>0.75140420751785886</v>
      </c>
      <c r="I134" s="244" t="s">
        <v>128</v>
      </c>
    </row>
    <row r="135" spans="1:9" ht="18" customHeight="1" x14ac:dyDescent="0.25">
      <c r="A135" s="239"/>
      <c r="B135" s="1" t="s">
        <v>20</v>
      </c>
      <c r="G135" s="2" t="s">
        <v>21</v>
      </c>
      <c r="H135" s="6">
        <f>H4</f>
        <v>40</v>
      </c>
      <c r="I135" s="244" t="s">
        <v>2</v>
      </c>
    </row>
    <row r="136" spans="1:9" ht="18" customHeight="1" x14ac:dyDescent="0.25">
      <c r="A136" s="239"/>
      <c r="B136" s="1" t="s">
        <v>1014</v>
      </c>
      <c r="G136" s="2" t="s">
        <v>1076</v>
      </c>
      <c r="H136" s="6">
        <f>48*H133*1000*H134/H135^3</f>
        <v>18729.136121816355</v>
      </c>
      <c r="I136" s="244" t="s">
        <v>39</v>
      </c>
    </row>
    <row r="137" spans="1:9" ht="18" customHeight="1" x14ac:dyDescent="0.25">
      <c r="A137" s="239"/>
      <c r="B137" s="1" t="s">
        <v>1075</v>
      </c>
      <c r="G137" s="2" t="s">
        <v>1077</v>
      </c>
      <c r="H137" s="6">
        <f>384/5*H133*1000*H134/H135^3</f>
        <v>29966.617794906171</v>
      </c>
      <c r="I137" s="244" t="s">
        <v>39</v>
      </c>
    </row>
    <row r="138" spans="1:9" ht="18" customHeight="1" x14ac:dyDescent="0.25">
      <c r="A138" s="239"/>
      <c r="B138" s="1" t="s">
        <v>1023</v>
      </c>
      <c r="G138" s="2" t="s">
        <v>1018</v>
      </c>
      <c r="H138" s="6">
        <f>H7*H4+H14*H4+H28*H18+H43*H4*H132</f>
        <v>1511.3081400045814</v>
      </c>
      <c r="I138" s="244" t="s">
        <v>40</v>
      </c>
    </row>
    <row r="139" spans="1:9" ht="18" customHeight="1" x14ac:dyDescent="0.25">
      <c r="A139" s="239"/>
      <c r="B139" s="1" t="s">
        <v>1021</v>
      </c>
      <c r="G139" s="2" t="s">
        <v>1022</v>
      </c>
      <c r="H139" s="6">
        <f>MAX(H55*H54*H12+H62*H12,H80)</f>
        <v>709.66</v>
      </c>
      <c r="I139" s="244" t="s">
        <v>40</v>
      </c>
    </row>
    <row r="140" spans="1:9" ht="18" customHeight="1" x14ac:dyDescent="0.25">
      <c r="A140" s="239"/>
      <c r="B140" s="1" t="s">
        <v>1024</v>
      </c>
      <c r="G140" s="2" t="s">
        <v>1025</v>
      </c>
      <c r="H140" s="6">
        <f>H138+0.3*H139</f>
        <v>1724.2061400045814</v>
      </c>
      <c r="I140" s="244" t="s">
        <v>40</v>
      </c>
    </row>
    <row r="141" spans="1:9" ht="18" customHeight="1" x14ac:dyDescent="0.25">
      <c r="A141" s="239"/>
      <c r="B141" s="1" t="s">
        <v>1078</v>
      </c>
      <c r="G141" s="437" t="s">
        <v>1083</v>
      </c>
      <c r="H141" s="422">
        <f>2*PI()*SQRT(H140/(9.81*H136))</f>
        <v>0.60866886255804664</v>
      </c>
      <c r="I141" s="244" t="s">
        <v>1026</v>
      </c>
    </row>
    <row r="142" spans="1:9" ht="18" customHeight="1" x14ac:dyDescent="0.25">
      <c r="A142" s="239"/>
      <c r="B142" s="1" t="s">
        <v>1082</v>
      </c>
      <c r="G142" s="437" t="s">
        <v>1092</v>
      </c>
      <c r="H142" s="422">
        <f>2*PI()*SQRT(H138/(9.81*H137))</f>
        <v>0.45050852237954664</v>
      </c>
      <c r="I142" s="244" t="s">
        <v>1026</v>
      </c>
    </row>
    <row r="143" spans="1:9" ht="18" customHeight="1" x14ac:dyDescent="0.25">
      <c r="A143" s="239"/>
      <c r="B143" s="1" t="s">
        <v>1079</v>
      </c>
      <c r="G143" s="2" t="s">
        <v>1100</v>
      </c>
      <c r="H143" s="422">
        <f>'Respon Spektrum'!I88</f>
        <v>0.53395207146645496</v>
      </c>
      <c r="I143" s="244" t="s">
        <v>1030</v>
      </c>
    </row>
    <row r="144" spans="1:9" ht="18" customHeight="1" x14ac:dyDescent="0.25">
      <c r="A144" s="239"/>
      <c r="B144" s="1" t="s">
        <v>1071</v>
      </c>
      <c r="G144" s="2" t="s">
        <v>1072</v>
      </c>
      <c r="H144" s="207">
        <v>1.5</v>
      </c>
      <c r="I144" s="244"/>
    </row>
    <row r="145" spans="1:12" ht="18" customHeight="1" x14ac:dyDescent="0.25">
      <c r="A145" s="239"/>
      <c r="B145" s="1" t="s">
        <v>1080</v>
      </c>
      <c r="G145" s="2" t="s">
        <v>1101</v>
      </c>
      <c r="H145" s="6">
        <f>IF(0.5*H143/H144&gt;0.1,0.5*H143/H144,0.1)*H140</f>
        <v>306.88114669687553</v>
      </c>
      <c r="I145" s="244" t="s">
        <v>40</v>
      </c>
    </row>
    <row r="146" spans="1:12" ht="18" customHeight="1" x14ac:dyDescent="0.25">
      <c r="A146" s="239"/>
      <c r="H146" s="3"/>
      <c r="I146" s="244"/>
    </row>
    <row r="147" spans="1:12" ht="18" customHeight="1" x14ac:dyDescent="0.25">
      <c r="A147" s="239"/>
      <c r="B147" s="1" t="s">
        <v>1085</v>
      </c>
      <c r="G147" s="437" t="s">
        <v>1032</v>
      </c>
      <c r="H147" s="207">
        <f>'Respon Spektrum'!I3</f>
        <v>0.6</v>
      </c>
      <c r="I147" s="244" t="s">
        <v>1030</v>
      </c>
      <c r="L147" s="87"/>
    </row>
    <row r="148" spans="1:12" ht="18" customHeight="1" x14ac:dyDescent="0.25">
      <c r="A148" s="239"/>
      <c r="B148" s="1" t="s">
        <v>1084</v>
      </c>
      <c r="G148" s="437" t="s">
        <v>1087</v>
      </c>
      <c r="H148" s="426">
        <v>1.1000000000000001</v>
      </c>
      <c r="I148" s="244"/>
    </row>
    <row r="149" spans="1:12" ht="18" customHeight="1" x14ac:dyDescent="0.25">
      <c r="A149" s="239"/>
      <c r="B149" s="1" t="s">
        <v>1053</v>
      </c>
      <c r="G149" s="2" t="s">
        <v>1088</v>
      </c>
      <c r="H149" s="207">
        <f>'Respon Spektrum'!H30</f>
        <v>0.79199999999999993</v>
      </c>
      <c r="I149" s="244" t="s">
        <v>1030</v>
      </c>
    </row>
    <row r="150" spans="1:12" ht="18" customHeight="1" x14ac:dyDescent="0.25">
      <c r="A150" s="239"/>
      <c r="B150" s="1" t="s">
        <v>1086</v>
      </c>
      <c r="H150" s="436"/>
      <c r="I150" s="244"/>
    </row>
    <row r="151" spans="1:12" ht="18" customHeight="1" x14ac:dyDescent="0.25">
      <c r="A151" s="239"/>
      <c r="B151" s="28" t="s">
        <v>361</v>
      </c>
      <c r="C151" s="1" t="s">
        <v>1149</v>
      </c>
      <c r="G151" s="2" t="s">
        <v>1146</v>
      </c>
      <c r="H151" s="422" t="str">
        <f>IF(H142&lt;=0.025,0.3*H148*H149,"-")</f>
        <v>-</v>
      </c>
      <c r="I151" s="244" t="s">
        <v>1030</v>
      </c>
    </row>
    <row r="152" spans="1:12" ht="18" customHeight="1" x14ac:dyDescent="0.25">
      <c r="A152" s="239"/>
      <c r="C152" s="1" t="s">
        <v>1150</v>
      </c>
      <c r="G152" s="2" t="s">
        <v>1148</v>
      </c>
      <c r="H152" s="422" t="str">
        <f>IF(H142&gt;0.025,IF(H142&lt;0.05,20*H148*H149*(H142-0.025)+0.3*H148*H149,"-"),"-")</f>
        <v>-</v>
      </c>
      <c r="I152" s="244" t="s">
        <v>1030</v>
      </c>
    </row>
    <row r="153" spans="1:12" ht="18" customHeight="1" x14ac:dyDescent="0.25">
      <c r="A153" s="239"/>
      <c r="C153" s="1" t="s">
        <v>1151</v>
      </c>
      <c r="G153" s="2" t="s">
        <v>1147</v>
      </c>
      <c r="H153" s="422" t="str">
        <f>IF(0.05&lt;H142,IF(H142&lt;=0.15,0.8*H148*H149,"-"),"-")</f>
        <v>-</v>
      </c>
      <c r="I153" s="244" t="s">
        <v>1030</v>
      </c>
    </row>
    <row r="154" spans="1:12" ht="18" customHeight="1" x14ac:dyDescent="0.25">
      <c r="A154" s="239"/>
      <c r="C154" s="1" t="s">
        <v>1152</v>
      </c>
      <c r="G154" s="2" t="s">
        <v>1089</v>
      </c>
      <c r="H154" s="422">
        <f>IF(0.15&lt;H142,IF(H142&lt;=2,0.8*H148*H149*(0.15/H142)^0.75,"-"),"-")</f>
        <v>0.30549143585883104</v>
      </c>
      <c r="I154" s="244" t="s">
        <v>1030</v>
      </c>
    </row>
    <row r="155" spans="1:12" ht="18" customHeight="1" x14ac:dyDescent="0.25">
      <c r="A155" s="239"/>
      <c r="G155" s="2" t="s">
        <v>1153</v>
      </c>
      <c r="H155" s="422">
        <f>MAX(H151:H154)</f>
        <v>0.30549143585883104</v>
      </c>
      <c r="I155" s="244" t="s">
        <v>1030</v>
      </c>
    </row>
    <row r="156" spans="1:12" ht="18" customHeight="1" x14ac:dyDescent="0.25">
      <c r="A156" s="239"/>
      <c r="B156" s="1" t="s">
        <v>1090</v>
      </c>
      <c r="G156" s="2" t="s">
        <v>1095</v>
      </c>
      <c r="H156" s="422">
        <f>2/3*H155</f>
        <v>0.20366095723922067</v>
      </c>
      <c r="I156" s="244" t="s">
        <v>1030</v>
      </c>
    </row>
    <row r="157" spans="1:12" ht="18" customHeight="1" x14ac:dyDescent="0.25">
      <c r="A157" s="239"/>
      <c r="H157" s="3"/>
      <c r="I157" s="244"/>
    </row>
    <row r="158" spans="1:12" ht="18" customHeight="1" x14ac:dyDescent="0.25">
      <c r="A158" s="239"/>
      <c r="B158" s="1" t="s">
        <v>1091</v>
      </c>
      <c r="G158" s="2" t="s">
        <v>1096</v>
      </c>
      <c r="H158" s="422">
        <f>0.2*H149*H138</f>
        <v>239.39120937672567</v>
      </c>
      <c r="I158" s="244" t="s">
        <v>40</v>
      </c>
    </row>
    <row r="159" spans="1:12" ht="18" customHeight="1" x14ac:dyDescent="0.25">
      <c r="A159" s="239"/>
      <c r="G159" s="2" t="s">
        <v>1097</v>
      </c>
      <c r="H159" s="422">
        <f>0.3*H156*H138</f>
        <v>92.338338743027748</v>
      </c>
      <c r="I159" s="244" t="s">
        <v>40</v>
      </c>
    </row>
    <row r="160" spans="1:12" ht="18" customHeight="1" x14ac:dyDescent="0.25">
      <c r="A160" s="239"/>
      <c r="H160" s="3"/>
      <c r="I160" s="244"/>
    </row>
    <row r="161" spans="1:27" ht="18" customHeight="1" x14ac:dyDescent="0.25">
      <c r="A161" s="239"/>
      <c r="B161" s="1" t="s">
        <v>1093</v>
      </c>
      <c r="G161" s="2" t="s">
        <v>1099</v>
      </c>
      <c r="H161" s="422">
        <f>MAX(H145,H158,H159)</f>
        <v>306.88114669687553</v>
      </c>
      <c r="I161" s="244" t="s">
        <v>40</v>
      </c>
    </row>
    <row r="162" spans="1:27" ht="18" customHeight="1" x14ac:dyDescent="0.25">
      <c r="A162" s="239"/>
      <c r="B162" s="1" t="s">
        <v>1094</v>
      </c>
      <c r="G162" s="1" t="s">
        <v>1098</v>
      </c>
      <c r="H162" s="422">
        <f>H161/H4</f>
        <v>7.6720286674218885</v>
      </c>
      <c r="I162" s="244" t="s">
        <v>39</v>
      </c>
    </row>
    <row r="163" spans="1:27" ht="18" customHeight="1" x14ac:dyDescent="0.25">
      <c r="A163" s="239"/>
      <c r="B163" s="41" t="s">
        <v>1154</v>
      </c>
      <c r="C163" s="42"/>
      <c r="D163" s="42"/>
      <c r="E163" s="42"/>
      <c r="F163" s="42"/>
      <c r="G163" s="30" t="s">
        <v>1155</v>
      </c>
      <c r="H163" s="427">
        <f>1/8*H162*H135^2</f>
        <v>1534.4057334843776</v>
      </c>
      <c r="I163" s="244" t="s">
        <v>42</v>
      </c>
    </row>
    <row r="164" spans="1:27" ht="18" customHeight="1" x14ac:dyDescent="0.25">
      <c r="A164" s="239"/>
      <c r="B164" s="41"/>
      <c r="C164" s="42"/>
      <c r="D164" s="42"/>
      <c r="E164" s="42"/>
      <c r="F164" s="42"/>
      <c r="G164" s="42"/>
      <c r="H164" s="42"/>
      <c r="I164" s="43"/>
    </row>
    <row r="165" spans="1:27" ht="18" customHeight="1" x14ac:dyDescent="0.25">
      <c r="A165" s="239"/>
      <c r="B165" s="41"/>
      <c r="C165" s="42"/>
      <c r="D165" s="42"/>
      <c r="E165" s="42"/>
      <c r="F165" s="42"/>
      <c r="G165" s="42"/>
      <c r="H165" s="42"/>
      <c r="I165" s="43"/>
    </row>
    <row r="166" spans="1:27" ht="18" customHeight="1" x14ac:dyDescent="0.25">
      <c r="A166" s="239" t="s">
        <v>886</v>
      </c>
      <c r="B166" s="320" t="s">
        <v>813</v>
      </c>
      <c r="C166" s="42"/>
      <c r="D166" s="42"/>
      <c r="E166" s="42"/>
      <c r="F166" s="42"/>
      <c r="G166" s="42"/>
      <c r="H166" s="42"/>
      <c r="I166" s="43"/>
      <c r="L166" s="63" t="s">
        <v>887</v>
      </c>
      <c r="M166" s="87" t="s">
        <v>861</v>
      </c>
    </row>
    <row r="167" spans="1:27" ht="18" customHeight="1" x14ac:dyDescent="0.25">
      <c r="A167" s="239"/>
      <c r="B167" s="41" t="s">
        <v>1156</v>
      </c>
      <c r="C167" s="42"/>
      <c r="D167" s="42"/>
      <c r="E167" s="42"/>
      <c r="F167" s="42"/>
      <c r="G167" s="30" t="s">
        <v>796</v>
      </c>
      <c r="H167" s="67">
        <f>H8+H15+H29</f>
        <v>6417.1200000000017</v>
      </c>
      <c r="I167" s="244" t="s">
        <v>42</v>
      </c>
      <c r="M167" s="617"/>
      <c r="N167" s="159" t="s">
        <v>847</v>
      </c>
      <c r="O167" s="159" t="s">
        <v>848</v>
      </c>
      <c r="P167" s="159" t="s">
        <v>849</v>
      </c>
      <c r="Q167" s="159" t="s">
        <v>850</v>
      </c>
      <c r="R167" s="159" t="s">
        <v>851</v>
      </c>
      <c r="S167" s="159" t="s">
        <v>852</v>
      </c>
      <c r="T167" s="159" t="s">
        <v>853</v>
      </c>
      <c r="U167" s="159" t="s">
        <v>854</v>
      </c>
      <c r="V167" s="159" t="s">
        <v>855</v>
      </c>
      <c r="W167" s="159" t="s">
        <v>856</v>
      </c>
      <c r="X167" s="159" t="s">
        <v>857</v>
      </c>
      <c r="Y167" s="159" t="s">
        <v>858</v>
      </c>
      <c r="Z167" s="159" t="s">
        <v>859</v>
      </c>
      <c r="AA167" s="159" t="s">
        <v>860</v>
      </c>
    </row>
    <row r="168" spans="1:27" ht="18" customHeight="1" x14ac:dyDescent="0.25">
      <c r="A168" s="239"/>
      <c r="B168" s="41" t="s">
        <v>1157</v>
      </c>
      <c r="C168" s="42"/>
      <c r="D168" s="42"/>
      <c r="E168" s="42"/>
      <c r="F168" s="42"/>
      <c r="G168" s="30" t="s">
        <v>814</v>
      </c>
      <c r="H168" s="67">
        <f>H37</f>
        <v>6154.1077933553097</v>
      </c>
      <c r="I168" s="244" t="s">
        <v>42</v>
      </c>
      <c r="M168" s="618"/>
      <c r="N168" s="194">
        <f>'Input (2) &amp; Process (1)'!H7+'Input (2) &amp; Process (1)'!H14+8*'Input (2) &amp; Process (1)'!H29/'Input (2) &amp; Process (1)'!H4^2</f>
        <v>32.085600000000007</v>
      </c>
      <c r="O168" s="194">
        <f>'Input (2) &amp; Process (1)'!H43+'Input (2) &amp; Process (1)'!H49</f>
        <v>4.9765000000000006</v>
      </c>
      <c r="P168" s="194">
        <f>-'Input (2) &amp; Process (1)'!H36</f>
        <v>-30.770538966776549</v>
      </c>
      <c r="Q168" s="194">
        <f>'Input (2) &amp; Process (1)'!H55*'Input (2) &amp; Process (1)'!H12</f>
        <v>14.568750000000001</v>
      </c>
      <c r="R168" s="195">
        <f>8/'Input (2) &amp; Process (1)'!H54*'Input (2) &amp; Process (1)'!H104</f>
        <v>13.562310800826157</v>
      </c>
      <c r="S168" s="194">
        <f>'Input (2) &amp; Process (1)'!H112</f>
        <v>0.75085714285714289</v>
      </c>
      <c r="T168" s="194">
        <f>'Input (2) &amp; Process (1)'!H127</f>
        <v>8.4265365678021755</v>
      </c>
      <c r="U168" s="193" t="s">
        <v>866</v>
      </c>
      <c r="V168" s="193" t="s">
        <v>866</v>
      </c>
      <c r="W168" s="193" t="s">
        <v>866</v>
      </c>
      <c r="X168" s="193" t="s">
        <v>866</v>
      </c>
      <c r="Y168" s="193" t="s">
        <v>866</v>
      </c>
      <c r="Z168" s="193" t="s">
        <v>866</v>
      </c>
      <c r="AA168" s="193" t="s">
        <v>866</v>
      </c>
    </row>
    <row r="169" spans="1:27" ht="18" customHeight="1" x14ac:dyDescent="0.25">
      <c r="A169" s="239"/>
      <c r="B169" s="41" t="s">
        <v>1158</v>
      </c>
      <c r="C169" s="42"/>
      <c r="D169" s="42"/>
      <c r="E169" s="42"/>
      <c r="F169" s="42"/>
      <c r="G169" s="30" t="s">
        <v>800</v>
      </c>
      <c r="H169" s="67">
        <f>H44+H50</f>
        <v>995.30000000000007</v>
      </c>
      <c r="I169" s="244" t="s">
        <v>42</v>
      </c>
      <c r="M169" s="196">
        <f>'Process (3)'!M36</f>
        <v>0</v>
      </c>
      <c r="N169" s="6">
        <f>0.5*$N$168*('Input (1)'!$H$24*M169-M169^2)</f>
        <v>0</v>
      </c>
      <c r="O169" s="6">
        <f>0.5*$O$168*('Input (1)'!$H$24*M169-M169^2)</f>
        <v>0</v>
      </c>
      <c r="P169" s="6">
        <f>0.5*$P$168*('Input (1)'!$H$24*M169-M169^2)</f>
        <v>0</v>
      </c>
      <c r="Q169" s="6">
        <f>0.5*$Q$168*('Input (1)'!$H$24*M169-M169^2)+0.5*'Input (2) &amp; Process (1)'!$H$62*'Input (2) &amp; Process (1)'!$H$12*'Input (2) &amp; Process (1)'!M169</f>
        <v>0</v>
      </c>
      <c r="R169" s="6">
        <f>M169/'Input (2) &amp; Process (1)'!$H$4*'Input (2) &amp; Process (1)'!$H$104</f>
        <v>0</v>
      </c>
      <c r="S169" s="6">
        <f>0.5*$S$168*('Input (1)'!$H$24*M169-M169^2)</f>
        <v>0</v>
      </c>
      <c r="T169" s="6">
        <f>0.5*$T$168*('Input (1)'!$H$24*M169-M169^2)</f>
        <v>0</v>
      </c>
      <c r="U169" s="6">
        <f t="shared" ref="U169:U189" si="0">SUM(N169:S169)+0.3*T169</f>
        <v>0</v>
      </c>
      <c r="V169" s="6">
        <f t="shared" ref="V169:V189" si="1">1.3*N169+2*O169+1*P169+1.8*(Q169+R169)</f>
        <v>0</v>
      </c>
      <c r="W169" s="6">
        <f t="shared" ref="W169:W189" si="2">1.3*N169+2*O169+P169+1.4*(Q169+R169)</f>
        <v>0</v>
      </c>
      <c r="X169" s="6">
        <f t="shared" ref="X169:X189" si="3">1.3*N169+2*O169+1*P169+1.4*T169</f>
        <v>0</v>
      </c>
      <c r="Y169" s="6">
        <f t="shared" ref="Y169:Y189" si="4">1.3*N169+2*O169</f>
        <v>0</v>
      </c>
      <c r="Z169" s="6">
        <f>1.3*N169+2*O169+P169+0.4*T169+1*S169</f>
        <v>0</v>
      </c>
      <c r="AA169" s="6">
        <f t="shared" ref="AA169:AA189" si="5">MAX(V169:Z169)</f>
        <v>0</v>
      </c>
    </row>
    <row r="170" spans="1:27" ht="18" customHeight="1" x14ac:dyDescent="0.25">
      <c r="A170" s="239"/>
      <c r="B170" s="41" t="s">
        <v>1159</v>
      </c>
      <c r="C170" s="42"/>
      <c r="D170" s="42"/>
      <c r="E170" s="42"/>
      <c r="F170" s="42"/>
      <c r="G170" s="30" t="s">
        <v>815</v>
      </c>
      <c r="H170" s="67">
        <f>MAX(H64,H82)</f>
        <v>4182.8500000000004</v>
      </c>
      <c r="I170" s="244" t="s">
        <v>42</v>
      </c>
      <c r="M170" s="196">
        <f>'Process (3)'!M37</f>
        <v>1</v>
      </c>
      <c r="N170" s="6">
        <f>0.5*$N$168*('Input (1)'!$H$24*M170-M170^2)</f>
        <v>625.66920000000016</v>
      </c>
      <c r="O170" s="6">
        <f>0.5*$O$168*('Input (1)'!$H$24*M170-M170^2)</f>
        <v>97.041750000000008</v>
      </c>
      <c r="P170" s="6">
        <f>0.5*$P$168*('Input (1)'!$H$24*M170-M170^2)</f>
        <v>-600.0255098521427</v>
      </c>
      <c r="Q170" s="6">
        <f>0.5*$Q$168*('Input (1)'!$H$24*M170-M170^2)+0.5*'Input (2) &amp; Process (1)'!$H$62*'Input (2) &amp; Process (1)'!$H$12*'Input (2) &amp; Process (1)'!M170</f>
        <v>347.54562500000003</v>
      </c>
      <c r="R170" s="6">
        <f>M170/'Input (2) &amp; Process (1)'!$H$4*'Input (2) &amp; Process (1)'!$H$104</f>
        <v>1.6952888501032697</v>
      </c>
      <c r="S170" s="6">
        <f>0.5*$S$168*('Input (1)'!$H$24*M170-M170^2)</f>
        <v>14.641714285714286</v>
      </c>
      <c r="T170" s="6">
        <f>0.5*$T$168*('Input (1)'!$H$24*M170-M170^2)</f>
        <v>164.31746307214243</v>
      </c>
      <c r="U170" s="6">
        <f t="shared" si="0"/>
        <v>535.86330720531771</v>
      </c>
      <c r="V170" s="6">
        <f t="shared" si="1"/>
        <v>1036.0615950780434</v>
      </c>
      <c r="W170" s="6">
        <f t="shared" si="2"/>
        <v>896.36522953800204</v>
      </c>
      <c r="X170" s="6">
        <f t="shared" si="3"/>
        <v>637.47239844885689</v>
      </c>
      <c r="Y170" s="6">
        <f t="shared" si="4"/>
        <v>1007.4534600000002</v>
      </c>
      <c r="Z170" s="6">
        <f t="shared" ref="Z170:Z189" si="6">1.3*N170+2*O170+P170+0.4*T170+1*S170</f>
        <v>487.79664966242871</v>
      </c>
      <c r="AA170" s="6">
        <f t="shared" si="5"/>
        <v>1036.0615950780434</v>
      </c>
    </row>
    <row r="171" spans="1:27" ht="18" customHeight="1" x14ac:dyDescent="0.25">
      <c r="A171" s="239"/>
      <c r="B171" s="41" t="s">
        <v>1160</v>
      </c>
      <c r="C171" s="42"/>
      <c r="D171" s="42"/>
      <c r="E171" s="42"/>
      <c r="F171" s="42"/>
      <c r="G171" s="30" t="s">
        <v>816</v>
      </c>
      <c r="H171" s="67">
        <f>H104</f>
        <v>67.811554004130784</v>
      </c>
      <c r="I171" s="244" t="s">
        <v>42</v>
      </c>
      <c r="M171" s="196">
        <f>'Process (3)'!M38</f>
        <v>2</v>
      </c>
      <c r="N171" s="6">
        <f>0.5*$N$168*('Input (1)'!$H$24*M171-M171^2)</f>
        <v>1219.2528000000002</v>
      </c>
      <c r="O171" s="6">
        <f>0.5*$O$168*('Input (1)'!$H$24*M171-M171^2)</f>
        <v>189.10700000000003</v>
      </c>
      <c r="P171" s="6">
        <f>0.5*$P$168*('Input (1)'!$H$24*M171-M171^2)</f>
        <v>-1169.2804807375089</v>
      </c>
      <c r="Q171" s="6">
        <f>0.5*$Q$168*('Input (1)'!$H$24*M171-M171^2)+0.5*'Input (2) &amp; Process (1)'!$H$62*'Input (2) &amp; Process (1)'!$H$12*'Input (2) &amp; Process (1)'!M171</f>
        <v>680.52250000000004</v>
      </c>
      <c r="R171" s="6">
        <f>M171/'Input (2) &amp; Process (1)'!$H$4*'Input (2) &amp; Process (1)'!$H$104</f>
        <v>3.3905777002065394</v>
      </c>
      <c r="S171" s="6">
        <f>0.5*$S$168*('Input (1)'!$H$24*M171-M171^2)</f>
        <v>28.53257142857143</v>
      </c>
      <c r="T171" s="6">
        <f>0.5*$T$168*('Input (1)'!$H$24*M171-M171^2)</f>
        <v>320.20838957648266</v>
      </c>
      <c r="U171" s="6">
        <f t="shared" si="0"/>
        <v>1047.5874852642141</v>
      </c>
      <c r="V171" s="6">
        <f t="shared" si="1"/>
        <v>2025.0056991228635</v>
      </c>
      <c r="W171" s="6">
        <f t="shared" si="2"/>
        <v>1751.4404680427806</v>
      </c>
      <c r="X171" s="6">
        <f t="shared" si="3"/>
        <v>1242.2539046695672</v>
      </c>
      <c r="Y171" s="6">
        <f t="shared" si="4"/>
        <v>1963.2426400000004</v>
      </c>
      <c r="Z171" s="6">
        <f t="shared" si="6"/>
        <v>950.57808652165591</v>
      </c>
      <c r="AA171" s="6">
        <f t="shared" si="5"/>
        <v>2025.0056991228635</v>
      </c>
    </row>
    <row r="172" spans="1:27" ht="18" customHeight="1" x14ac:dyDescent="0.25">
      <c r="A172" s="239"/>
      <c r="B172" s="41" t="s">
        <v>789</v>
      </c>
      <c r="C172" s="42"/>
      <c r="D172" s="42"/>
      <c r="E172" s="42"/>
      <c r="F172" s="42"/>
      <c r="G172" s="30" t="s">
        <v>817</v>
      </c>
      <c r="H172" s="67">
        <f>H113</f>
        <v>150.17142857142858</v>
      </c>
      <c r="I172" s="244" t="s">
        <v>42</v>
      </c>
      <c r="M172" s="196">
        <f>'Process (3)'!M39</f>
        <v>3</v>
      </c>
      <c r="N172" s="6">
        <f>0.5*$N$168*('Input (1)'!$H$24*M172-M172^2)</f>
        <v>1780.7508000000003</v>
      </c>
      <c r="O172" s="6">
        <f>0.5*$O$168*('Input (1)'!$H$24*M172-M172^2)</f>
        <v>276.19575000000003</v>
      </c>
      <c r="P172" s="6">
        <f>0.5*$P$168*('Input (1)'!$H$24*M172-M172^2)</f>
        <v>-1707.7649126560984</v>
      </c>
      <c r="Q172" s="6">
        <f>0.5*$Q$168*('Input (1)'!$H$24*M172-M172^2)+0.5*'Input (2) &amp; Process (1)'!$H$62*'Input (2) &amp; Process (1)'!$H$12*'Input (2) &amp; Process (1)'!M172</f>
        <v>998.93062500000008</v>
      </c>
      <c r="R172" s="6">
        <f>M172/'Input (2) &amp; Process (1)'!$H$4*'Input (2) &amp; Process (1)'!$H$104</f>
        <v>5.0858665503098086</v>
      </c>
      <c r="S172" s="6">
        <f>0.5*$S$168*('Input (1)'!$H$24*M172-M172^2)</f>
        <v>41.67257142857143</v>
      </c>
      <c r="T172" s="6">
        <f>0.5*$T$168*('Input (1)'!$H$24*M172-M172^2)</f>
        <v>467.67277951302071</v>
      </c>
      <c r="U172" s="6">
        <f t="shared" si="0"/>
        <v>1535.1725341766894</v>
      </c>
      <c r="V172" s="6">
        <f t="shared" si="1"/>
        <v>2966.8323121344602</v>
      </c>
      <c r="W172" s="6">
        <f t="shared" si="2"/>
        <v>2565.2257155143361</v>
      </c>
      <c r="X172" s="6">
        <f t="shared" si="3"/>
        <v>1814.3445186621311</v>
      </c>
      <c r="Y172" s="6">
        <f t="shared" si="4"/>
        <v>2867.3675400000006</v>
      </c>
      <c r="Z172" s="6">
        <f t="shared" si="6"/>
        <v>1388.3443105776821</v>
      </c>
      <c r="AA172" s="6">
        <f t="shared" si="5"/>
        <v>2966.8323121344602</v>
      </c>
    </row>
    <row r="173" spans="1:27" ht="18" customHeight="1" x14ac:dyDescent="0.25">
      <c r="A173" s="239"/>
      <c r="B173" s="41" t="s">
        <v>1161</v>
      </c>
      <c r="C173" s="42"/>
      <c r="D173" s="42"/>
      <c r="E173" s="42"/>
      <c r="F173" s="42"/>
      <c r="G173" s="30" t="s">
        <v>818</v>
      </c>
      <c r="H173" s="67">
        <f>H128</f>
        <v>910.97692624888373</v>
      </c>
      <c r="I173" s="244" t="s">
        <v>42</v>
      </c>
      <c r="M173" s="196">
        <f>'Process (3)'!M40</f>
        <v>4</v>
      </c>
      <c r="N173" s="6">
        <f>0.5*$N$168*('Input (1)'!$H$24*M173-M173^2)</f>
        <v>2310.1632000000004</v>
      </c>
      <c r="O173" s="6">
        <f>0.5*$O$168*('Input (1)'!$H$24*M173-M173^2)</f>
        <v>358.30800000000005</v>
      </c>
      <c r="P173" s="6">
        <f>0.5*$P$168*('Input (1)'!$H$24*M173-M173^2)</f>
        <v>-2215.4788056079115</v>
      </c>
      <c r="Q173" s="6">
        <f>0.5*$Q$168*('Input (1)'!$H$24*M173-M173^2)+0.5*'Input (2) &amp; Process (1)'!$H$62*'Input (2) &amp; Process (1)'!$H$12*'Input (2) &amp; Process (1)'!M173</f>
        <v>1302.77</v>
      </c>
      <c r="R173" s="6">
        <f>M173/'Input (2) &amp; Process (1)'!$H$4*'Input (2) &amp; Process (1)'!$H$104</f>
        <v>6.7811554004130787</v>
      </c>
      <c r="S173" s="6">
        <f>0.5*$S$168*('Input (1)'!$H$24*M173-M173^2)</f>
        <v>54.061714285714288</v>
      </c>
      <c r="T173" s="6">
        <f>0.5*$T$168*('Input (1)'!$H$24*M173-M173^2)</f>
        <v>606.71063288175662</v>
      </c>
      <c r="U173" s="6">
        <f t="shared" si="0"/>
        <v>1998.6184539427434</v>
      </c>
      <c r="V173" s="6">
        <f t="shared" si="1"/>
        <v>3861.5414341128326</v>
      </c>
      <c r="W173" s="6">
        <f t="shared" si="2"/>
        <v>3337.7209719526672</v>
      </c>
      <c r="X173" s="6">
        <f t="shared" si="3"/>
        <v>2353.7442404265485</v>
      </c>
      <c r="Y173" s="6">
        <f t="shared" si="4"/>
        <v>3719.8281600000005</v>
      </c>
      <c r="Z173" s="6">
        <f t="shared" si="6"/>
        <v>1801.095321830506</v>
      </c>
      <c r="AA173" s="6">
        <f t="shared" si="5"/>
        <v>3861.5414341128326</v>
      </c>
    </row>
    <row r="174" spans="1:27" ht="18" customHeight="1" x14ac:dyDescent="0.25">
      <c r="A174" s="239"/>
      <c r="B174" s="41" t="s">
        <v>1154</v>
      </c>
      <c r="C174" s="42"/>
      <c r="D174" s="42"/>
      <c r="E174" s="42"/>
      <c r="F174" s="42"/>
      <c r="G174" s="30" t="s">
        <v>824</v>
      </c>
      <c r="H174" s="427">
        <f>H163</f>
        <v>1534.4057334843776</v>
      </c>
      <c r="I174" s="244" t="s">
        <v>42</v>
      </c>
      <c r="M174" s="196">
        <f>'Process (3)'!M41</f>
        <v>5</v>
      </c>
      <c r="N174" s="6">
        <f>0.5*$N$168*('Input (1)'!$H$24*M174-M174^2)</f>
        <v>2807.4900000000007</v>
      </c>
      <c r="O174" s="6">
        <f>0.5*$O$168*('Input (1)'!$H$24*M174-M174^2)</f>
        <v>435.44375000000008</v>
      </c>
      <c r="P174" s="6">
        <f>0.5*$P$168*('Input (1)'!$H$24*M174-M174^2)</f>
        <v>-2692.422159592948</v>
      </c>
      <c r="Q174" s="6">
        <f>0.5*$Q$168*('Input (1)'!$H$24*M174-M174^2)+0.5*'Input (2) &amp; Process (1)'!$H$62*'Input (2) &amp; Process (1)'!$H$12*'Input (2) &amp; Process (1)'!M174</f>
        <v>1592.0406250000001</v>
      </c>
      <c r="R174" s="6">
        <f>M174/'Input (2) &amp; Process (1)'!$H$4*'Input (2) &amp; Process (1)'!$H$104</f>
        <v>8.476444250516348</v>
      </c>
      <c r="S174" s="6">
        <f>0.5*$S$168*('Input (1)'!$H$24*M174-M174^2)</f>
        <v>65.7</v>
      </c>
      <c r="T174" s="6">
        <f>0.5*$T$168*('Input (1)'!$H$24*M174-M174^2)</f>
        <v>737.32194968269039</v>
      </c>
      <c r="U174" s="6">
        <f t="shared" si="0"/>
        <v>2437.9252445623756</v>
      </c>
      <c r="V174" s="6">
        <f t="shared" si="1"/>
        <v>4709.1330650579821</v>
      </c>
      <c r="W174" s="6">
        <f t="shared" si="2"/>
        <v>4068.9262373577758</v>
      </c>
      <c r="X174" s="6">
        <f t="shared" si="3"/>
        <v>2860.4530699628194</v>
      </c>
      <c r="Y174" s="6">
        <f t="shared" si="4"/>
        <v>4520.6245000000008</v>
      </c>
      <c r="Z174" s="6">
        <f t="shared" si="6"/>
        <v>2188.8311202801287</v>
      </c>
      <c r="AA174" s="6">
        <f t="shared" si="5"/>
        <v>4709.1330650579821</v>
      </c>
    </row>
    <row r="175" spans="1:27" ht="18" customHeight="1" x14ac:dyDescent="0.25">
      <c r="A175" s="239"/>
      <c r="B175" s="41"/>
      <c r="C175" s="42"/>
      <c r="D175" s="42"/>
      <c r="E175" s="42"/>
      <c r="F175" s="42"/>
      <c r="G175" s="42"/>
      <c r="H175" s="42"/>
      <c r="I175" s="43"/>
      <c r="M175" s="196">
        <f>'Process (3)'!M42</f>
        <v>6</v>
      </c>
      <c r="N175" s="6">
        <f>0.5*$N$168*('Input (1)'!$H$24*M175-M175^2)</f>
        <v>3272.7312000000006</v>
      </c>
      <c r="O175" s="6">
        <f>0.5*$O$168*('Input (1)'!$H$24*M175-M175^2)</f>
        <v>507.60300000000007</v>
      </c>
      <c r="P175" s="6">
        <f>0.5*$P$168*('Input (1)'!$H$24*M175-M175^2)</f>
        <v>-3138.5949746112078</v>
      </c>
      <c r="Q175" s="6">
        <f>0.5*$Q$168*('Input (1)'!$H$24*M175-M175^2)+0.5*'Input (2) &amp; Process (1)'!$H$62*'Input (2) &amp; Process (1)'!$H$12*'Input (2) &amp; Process (1)'!M175</f>
        <v>1866.7425000000001</v>
      </c>
      <c r="R175" s="6">
        <f>M175/'Input (2) &amp; Process (1)'!$H$4*'Input (2) &amp; Process (1)'!$H$104</f>
        <v>10.171733100619617</v>
      </c>
      <c r="S175" s="6">
        <f>0.5*$S$168*('Input (1)'!$H$24*M175-M175^2)</f>
        <v>76.587428571428575</v>
      </c>
      <c r="T175" s="6">
        <f>0.5*$T$168*('Input (1)'!$H$24*M175-M175^2)</f>
        <v>859.50672991582189</v>
      </c>
      <c r="U175" s="6">
        <f t="shared" si="0"/>
        <v>2853.0929060355879</v>
      </c>
      <c r="V175" s="6">
        <f t="shared" si="1"/>
        <v>5509.6072049699087</v>
      </c>
      <c r="W175" s="6">
        <f t="shared" si="2"/>
        <v>4758.8415117296609</v>
      </c>
      <c r="X175" s="6">
        <f t="shared" si="3"/>
        <v>3334.4710072709436</v>
      </c>
      <c r="Y175" s="6">
        <f t="shared" si="4"/>
        <v>5269.7565600000007</v>
      </c>
      <c r="Z175" s="6">
        <f t="shared" si="6"/>
        <v>2551.5517059265503</v>
      </c>
      <c r="AA175" s="6">
        <f t="shared" si="5"/>
        <v>5509.6072049699087</v>
      </c>
    </row>
    <row r="176" spans="1:27" ht="18" customHeight="1" x14ac:dyDescent="0.25">
      <c r="A176" s="239"/>
      <c r="B176" s="41" t="s">
        <v>819</v>
      </c>
      <c r="C176" s="42"/>
      <c r="D176" s="42"/>
      <c r="E176" s="42"/>
      <c r="F176" s="42"/>
      <c r="G176" s="42"/>
      <c r="H176" s="42"/>
      <c r="I176" s="43"/>
      <c r="M176" s="196">
        <f>'Process (3)'!M43</f>
        <v>7</v>
      </c>
      <c r="N176" s="6">
        <f>0.5*$N$168*('Input (1)'!$H$24*M176-M176^2)</f>
        <v>3705.8868000000007</v>
      </c>
      <c r="O176" s="6">
        <f>0.5*$O$168*('Input (1)'!$H$24*M176-M176^2)</f>
        <v>574.78575000000012</v>
      </c>
      <c r="P176" s="6">
        <f>0.5*$P$168*('Input (1)'!$H$24*M176-M176^2)</f>
        <v>-3553.9972506626914</v>
      </c>
      <c r="Q176" s="6">
        <f>0.5*$Q$168*('Input (1)'!$H$24*M176-M176^2)+0.5*'Input (2) &amp; Process (1)'!$H$62*'Input (2) &amp; Process (1)'!$H$12*'Input (2) &amp; Process (1)'!M176</f>
        <v>2126.8756250000001</v>
      </c>
      <c r="R176" s="6">
        <f>M176/'Input (2) &amp; Process (1)'!$H$4*'Input (2) &amp; Process (1)'!$H$104</f>
        <v>11.867021950722886</v>
      </c>
      <c r="S176" s="6">
        <f>0.5*$S$168*('Input (1)'!$H$24*M176-M176^2)</f>
        <v>86.724000000000004</v>
      </c>
      <c r="T176" s="6">
        <f>0.5*$T$168*('Input (1)'!$H$24*M176-M176^2)</f>
        <v>973.26497358115125</v>
      </c>
      <c r="U176" s="6">
        <f t="shared" si="0"/>
        <v>3244.1214383623783</v>
      </c>
      <c r="V176" s="6">
        <f t="shared" si="1"/>
        <v>6262.9638538486106</v>
      </c>
      <c r="W176" s="6">
        <f t="shared" si="2"/>
        <v>5407.4667950683215</v>
      </c>
      <c r="X176" s="6">
        <f t="shared" si="3"/>
        <v>3775.7980523509209</v>
      </c>
      <c r="Y176" s="6">
        <f t="shared" si="4"/>
        <v>5967.2243400000007</v>
      </c>
      <c r="Z176" s="6">
        <f t="shared" si="6"/>
        <v>2889.25707876977</v>
      </c>
      <c r="AA176" s="6">
        <f t="shared" si="5"/>
        <v>6262.9638538486106</v>
      </c>
    </row>
    <row r="177" spans="1:27" ht="18" customHeight="1" x14ac:dyDescent="0.25">
      <c r="A177" s="239"/>
      <c r="B177" s="41"/>
      <c r="C177" s="42"/>
      <c r="D177" s="42"/>
      <c r="E177" s="42"/>
      <c r="F177" s="42"/>
      <c r="G177" s="30" t="s">
        <v>820</v>
      </c>
      <c r="H177" s="67">
        <f>H167-H168+H169+H170+H171+H172+0.3*H173</f>
        <v>5932.4382670949171</v>
      </c>
      <c r="I177" s="244" t="s">
        <v>42</v>
      </c>
      <c r="M177" s="196">
        <f>'Process (3)'!M44</f>
        <v>8</v>
      </c>
      <c r="N177" s="6">
        <f>0.5*$N$168*('Input (1)'!$H$24*M177-M177^2)</f>
        <v>4106.9568000000008</v>
      </c>
      <c r="O177" s="6">
        <f>0.5*$O$168*('Input (1)'!$H$24*M177-M177^2)</f>
        <v>636.99200000000008</v>
      </c>
      <c r="P177" s="6">
        <f>0.5*$P$168*('Input (1)'!$H$24*M177-M177^2)</f>
        <v>-3938.6289877473982</v>
      </c>
      <c r="Q177" s="6">
        <f>0.5*$Q$168*('Input (1)'!$H$24*M177-M177^2)+0.5*'Input (2) &amp; Process (1)'!$H$62*'Input (2) &amp; Process (1)'!$H$12*'Input (2) &amp; Process (1)'!M177</f>
        <v>2372.44</v>
      </c>
      <c r="R177" s="6">
        <f>M177/'Input (2) &amp; Process (1)'!$H$4*'Input (2) &amp; Process (1)'!$H$104</f>
        <v>13.562310800826157</v>
      </c>
      <c r="S177" s="6">
        <f>0.5*$S$168*('Input (1)'!$H$24*M177-M177^2)</f>
        <v>96.10971428571429</v>
      </c>
      <c r="T177" s="6">
        <f>0.5*$T$168*('Input (1)'!$H$24*M177-M177^2)</f>
        <v>1078.5966806786785</v>
      </c>
      <c r="U177" s="6">
        <f t="shared" si="0"/>
        <v>3611.0108415427467</v>
      </c>
      <c r="V177" s="6">
        <f t="shared" si="1"/>
        <v>6969.2030116940905</v>
      </c>
      <c r="W177" s="6">
        <f t="shared" si="2"/>
        <v>6014.8020873737605</v>
      </c>
      <c r="X177" s="6">
        <f t="shared" si="3"/>
        <v>4184.4342052027532</v>
      </c>
      <c r="Y177" s="6">
        <f t="shared" si="4"/>
        <v>6613.0278400000016</v>
      </c>
      <c r="Z177" s="6">
        <f t="shared" si="6"/>
        <v>3201.9472388097893</v>
      </c>
      <c r="AA177" s="6">
        <f t="shared" si="5"/>
        <v>6969.2030116940905</v>
      </c>
    </row>
    <row r="178" spans="1:27" ht="18" customHeight="1" x14ac:dyDescent="0.25">
      <c r="A178" s="239"/>
      <c r="B178" s="41" t="s">
        <v>821</v>
      </c>
      <c r="C178" s="42"/>
      <c r="D178" s="42"/>
      <c r="E178" s="42"/>
      <c r="F178" s="42"/>
      <c r="G178" s="30" t="s">
        <v>1163</v>
      </c>
      <c r="H178" s="67">
        <f>H167-H168+H169+0.8*(H170+H171)</f>
        <v>4658.8414498479979</v>
      </c>
      <c r="I178" s="244" t="s">
        <v>42</v>
      </c>
      <c r="M178" s="196">
        <f>'Process (3)'!M45</f>
        <v>9</v>
      </c>
      <c r="N178" s="6">
        <f>0.5*$N$168*('Input (1)'!$H$24*M178-M178^2)</f>
        <v>4475.9412000000011</v>
      </c>
      <c r="O178" s="6">
        <f>0.5*$O$168*('Input (1)'!$H$24*M178-M178^2)</f>
        <v>694.22175000000004</v>
      </c>
      <c r="P178" s="6">
        <f>0.5*$P$168*('Input (1)'!$H$24*M178-M178^2)</f>
        <v>-4292.4901858653284</v>
      </c>
      <c r="Q178" s="6">
        <f>0.5*$Q$168*('Input (1)'!$H$24*M178-M178^2)+0.5*'Input (2) &amp; Process (1)'!$H$62*'Input (2) &amp; Process (1)'!$H$12*'Input (2) &amp; Process (1)'!M178</f>
        <v>2603.4356250000001</v>
      </c>
      <c r="R178" s="6">
        <f>M178/'Input (2) &amp; Process (1)'!$H$4*'Input (2) &amp; Process (1)'!$H$104</f>
        <v>15.257599650929427</v>
      </c>
      <c r="S178" s="6">
        <f>0.5*$S$168*('Input (1)'!$H$24*M178-M178^2)</f>
        <v>104.74457142857143</v>
      </c>
      <c r="T178" s="6">
        <f>0.5*$T$168*('Input (1)'!$H$24*M178-M178^2)</f>
        <v>1175.5018512084034</v>
      </c>
      <c r="U178" s="6">
        <f t="shared" si="0"/>
        <v>3953.7611155766945</v>
      </c>
      <c r="V178" s="6">
        <f t="shared" si="1"/>
        <v>7628.3246785063466</v>
      </c>
      <c r="W178" s="6">
        <f t="shared" si="2"/>
        <v>6580.8473886459742</v>
      </c>
      <c r="X178" s="6">
        <f t="shared" si="3"/>
        <v>4560.3794658264378</v>
      </c>
      <c r="Y178" s="6">
        <f t="shared" si="4"/>
        <v>7207.1670600000016</v>
      </c>
      <c r="Z178" s="6">
        <f t="shared" si="6"/>
        <v>3489.6221860466057</v>
      </c>
      <c r="AA178" s="6">
        <f t="shared" si="5"/>
        <v>7628.3246785063466</v>
      </c>
    </row>
    <row r="179" spans="1:27" ht="18" customHeight="1" x14ac:dyDescent="0.25">
      <c r="A179" s="239"/>
      <c r="B179" s="41"/>
      <c r="C179" s="42"/>
      <c r="D179" s="42"/>
      <c r="E179" s="42"/>
      <c r="F179" s="42"/>
      <c r="G179" s="42"/>
      <c r="H179" s="42"/>
      <c r="I179" s="43"/>
      <c r="M179" s="196">
        <f>'Process (3)'!M46</f>
        <v>10</v>
      </c>
      <c r="N179" s="6">
        <f>0.5*$N$168*('Input (1)'!$H$24*M179-M179^2)</f>
        <v>4812.8400000000011</v>
      </c>
      <c r="O179" s="6">
        <f>0.5*$O$168*('Input (1)'!$H$24*M179-M179^2)</f>
        <v>746.47500000000014</v>
      </c>
      <c r="P179" s="6">
        <f>0.5*$P$168*('Input (1)'!$H$24*M179-M179^2)</f>
        <v>-4615.5808450164823</v>
      </c>
      <c r="Q179" s="6">
        <f>0.5*$Q$168*('Input (1)'!$H$24*M179-M179^2)+0.5*'Input (2) &amp; Process (1)'!$H$62*'Input (2) &amp; Process (1)'!$H$12*'Input (2) &amp; Process (1)'!M179</f>
        <v>2819.8625000000002</v>
      </c>
      <c r="R179" s="6">
        <f>M179/'Input (2) &amp; Process (1)'!$H$4*'Input (2) &amp; Process (1)'!$H$104</f>
        <v>16.952888501032696</v>
      </c>
      <c r="S179" s="6">
        <f>0.5*$S$168*('Input (1)'!$H$24*M179-M179^2)</f>
        <v>112.62857142857143</v>
      </c>
      <c r="T179" s="6">
        <f>0.5*$T$168*('Input (1)'!$H$24*M179-M179^2)</f>
        <v>1263.9804851703263</v>
      </c>
      <c r="U179" s="6">
        <f t="shared" si="0"/>
        <v>4272.3722604642217</v>
      </c>
      <c r="V179" s="6">
        <f t="shared" si="1"/>
        <v>8240.3288542853788</v>
      </c>
      <c r="W179" s="6">
        <f t="shared" si="2"/>
        <v>7105.6026988849653</v>
      </c>
      <c r="X179" s="6">
        <f t="shared" si="3"/>
        <v>4903.633834221976</v>
      </c>
      <c r="Y179" s="6">
        <f t="shared" si="4"/>
        <v>7749.6420000000016</v>
      </c>
      <c r="Z179" s="6">
        <f t="shared" si="6"/>
        <v>3752.2819204802213</v>
      </c>
      <c r="AA179" s="6">
        <f t="shared" si="5"/>
        <v>8240.3288542853788</v>
      </c>
    </row>
    <row r="180" spans="1:27" ht="18" customHeight="1" x14ac:dyDescent="0.25">
      <c r="A180" s="241"/>
      <c r="B180" s="44"/>
      <c r="C180" s="45"/>
      <c r="D180" s="45"/>
      <c r="E180" s="45"/>
      <c r="F180" s="45"/>
      <c r="G180" s="45"/>
      <c r="H180" s="45"/>
      <c r="I180" s="46"/>
      <c r="M180" s="196">
        <f>'Process (3)'!M47</f>
        <v>11</v>
      </c>
      <c r="N180" s="6">
        <f>0.5*$N$168*('Input (1)'!$H$24*M180-M180^2)</f>
        <v>5117.6532000000007</v>
      </c>
      <c r="O180" s="6">
        <f>0.5*$O$168*('Input (1)'!$H$24*M180-M180^2)</f>
        <v>793.75175000000013</v>
      </c>
      <c r="P180" s="6">
        <f>0.5*$P$168*('Input (1)'!$H$24*M180-M180^2)</f>
        <v>-4907.9009652008599</v>
      </c>
      <c r="Q180" s="6">
        <f>0.5*$Q$168*('Input (1)'!$H$24*M180-M180^2)+0.5*'Input (2) &amp; Process (1)'!$H$62*'Input (2) &amp; Process (1)'!$H$12*'Input (2) &amp; Process (1)'!M180</f>
        <v>3021.7206250000004</v>
      </c>
      <c r="R180" s="6">
        <f>M180/'Input (2) &amp; Process (1)'!$H$4*'Input (2) &amp; Process (1)'!$H$104</f>
        <v>18.648177351135967</v>
      </c>
      <c r="S180" s="6">
        <f>0.5*$S$168*('Input (1)'!$H$24*M180-M180^2)</f>
        <v>119.76171428571429</v>
      </c>
      <c r="T180" s="6">
        <f>0.5*$T$168*('Input (1)'!$H$24*M180-M180^2)</f>
        <v>1344.032582564447</v>
      </c>
      <c r="U180" s="6">
        <f t="shared" si="0"/>
        <v>4566.8442762053255</v>
      </c>
      <c r="V180" s="6">
        <f t="shared" si="1"/>
        <v>8805.2155390311855</v>
      </c>
      <c r="W180" s="6">
        <f t="shared" si="2"/>
        <v>7589.0680180907311</v>
      </c>
      <c r="X180" s="6">
        <f t="shared" si="3"/>
        <v>5214.197310389367</v>
      </c>
      <c r="Y180" s="6">
        <f t="shared" si="4"/>
        <v>8240.4526600000008</v>
      </c>
      <c r="Z180" s="6">
        <f t="shared" si="6"/>
        <v>3989.9264421106341</v>
      </c>
      <c r="AA180" s="6">
        <f t="shared" si="5"/>
        <v>8805.2155390311855</v>
      </c>
    </row>
    <row r="181" spans="1:27" ht="18" customHeight="1" x14ac:dyDescent="0.25">
      <c r="M181" s="196">
        <f>'Process (3)'!M48</f>
        <v>12</v>
      </c>
      <c r="N181" s="6">
        <f>0.5*$N$168*('Input (1)'!$H$24*M181-M181^2)</f>
        <v>5390.3808000000008</v>
      </c>
      <c r="O181" s="6">
        <f>0.5*$O$168*('Input (1)'!$H$24*M181-M181^2)</f>
        <v>836.05200000000013</v>
      </c>
      <c r="P181" s="6">
        <f>0.5*$P$168*('Input (1)'!$H$24*M181-M181^2)</f>
        <v>-5169.4505464184604</v>
      </c>
      <c r="Q181" s="6">
        <f>0.5*$Q$168*('Input (1)'!$H$24*M181-M181^2)+0.5*'Input (2) &amp; Process (1)'!$H$62*'Input (2) &amp; Process (1)'!$H$12*'Input (2) &amp; Process (1)'!M181</f>
        <v>3209.01</v>
      </c>
      <c r="R181" s="6">
        <f>M181/'Input (2) &amp; Process (1)'!$H$4*'Input (2) &amp; Process (1)'!$H$104</f>
        <v>20.343466201239234</v>
      </c>
      <c r="S181" s="6">
        <f>0.5*$S$168*('Input (1)'!$H$24*M181-M181^2)</f>
        <v>126.14400000000001</v>
      </c>
      <c r="T181" s="6">
        <f>0.5*$T$168*('Input (1)'!$H$24*M181-M181^2)</f>
        <v>1415.6581433907654</v>
      </c>
      <c r="U181" s="6">
        <f t="shared" si="0"/>
        <v>4837.1771628000097</v>
      </c>
      <c r="V181" s="6">
        <f t="shared" si="1"/>
        <v>9322.984732743771</v>
      </c>
      <c r="W181" s="6">
        <f t="shared" si="2"/>
        <v>8031.2433462632753</v>
      </c>
      <c r="X181" s="6">
        <f t="shared" si="3"/>
        <v>5492.0698943286116</v>
      </c>
      <c r="Y181" s="6">
        <f t="shared" si="4"/>
        <v>8679.599040000001</v>
      </c>
      <c r="Z181" s="6">
        <f t="shared" si="6"/>
        <v>4202.5557509378468</v>
      </c>
      <c r="AA181" s="6">
        <f t="shared" si="5"/>
        <v>9322.984732743771</v>
      </c>
    </row>
    <row r="182" spans="1:27" ht="18" customHeight="1" x14ac:dyDescent="0.25">
      <c r="M182" s="196">
        <f>'Process (3)'!M49</f>
        <v>13</v>
      </c>
      <c r="N182" s="6">
        <f>0.5*$N$168*('Input (1)'!$H$24*M182-M182^2)</f>
        <v>5631.0228000000016</v>
      </c>
      <c r="O182" s="6">
        <f>0.5*$O$168*('Input (1)'!$H$24*M182-M182^2)</f>
        <v>873.37575000000015</v>
      </c>
      <c r="P182" s="6">
        <f>0.5*$P$168*('Input (1)'!$H$24*M182-M182^2)</f>
        <v>-5400.2295886692846</v>
      </c>
      <c r="Q182" s="6">
        <f>0.5*$Q$168*('Input (1)'!$H$24*M182-M182^2)+0.5*'Input (2) &amp; Process (1)'!$H$62*'Input (2) &amp; Process (1)'!$H$12*'Input (2) &amp; Process (1)'!M182</f>
        <v>3381.7306250000001</v>
      </c>
      <c r="R182" s="6">
        <f>M182/'Input (2) &amp; Process (1)'!$H$4*'Input (2) &amp; Process (1)'!$H$104</f>
        <v>22.038755051342505</v>
      </c>
      <c r="S182" s="6">
        <f>0.5*$S$168*('Input (1)'!$H$24*M182-M182^2)</f>
        <v>131.77542857142856</v>
      </c>
      <c r="T182" s="6">
        <f>0.5*$T$168*('Input (1)'!$H$24*M182-M182^2)</f>
        <v>1478.8571676492818</v>
      </c>
      <c r="U182" s="6">
        <f t="shared" si="0"/>
        <v>5083.3709202482723</v>
      </c>
      <c r="V182" s="6">
        <f t="shared" si="1"/>
        <v>9793.6364354231337</v>
      </c>
      <c r="W182" s="6">
        <f t="shared" si="2"/>
        <v>8432.1286834025959</v>
      </c>
      <c r="X182" s="6">
        <f t="shared" si="3"/>
        <v>5737.2515860397125</v>
      </c>
      <c r="Y182" s="6">
        <f t="shared" si="4"/>
        <v>9067.0811400000021</v>
      </c>
      <c r="Z182" s="6">
        <f t="shared" si="6"/>
        <v>4390.1698469618586</v>
      </c>
      <c r="AA182" s="6">
        <f t="shared" si="5"/>
        <v>9793.6364354231337</v>
      </c>
    </row>
    <row r="183" spans="1:27" ht="18" customHeight="1" x14ac:dyDescent="0.25">
      <c r="M183" s="196">
        <f>'Process (3)'!M50</f>
        <v>14</v>
      </c>
      <c r="N183" s="6">
        <f>0.5*$N$168*('Input (1)'!$H$24*M183-M183^2)</f>
        <v>5839.579200000001</v>
      </c>
      <c r="O183" s="6">
        <f>0.5*$O$168*('Input (1)'!$H$24*M183-M183^2)</f>
        <v>905.72300000000007</v>
      </c>
      <c r="P183" s="6">
        <f>0.5*$P$168*('Input (1)'!$H$24*M183-M183^2)</f>
        <v>-5600.2380919533316</v>
      </c>
      <c r="Q183" s="6">
        <f>0.5*$Q$168*('Input (1)'!$H$24*M183-M183^2)+0.5*'Input (2) &amp; Process (1)'!$H$62*'Input (2) &amp; Process (1)'!$H$12*'Input (2) &amp; Process (1)'!M183</f>
        <v>3539.8825000000002</v>
      </c>
      <c r="R183" s="6">
        <f>M183/'Input (2) &amp; Process (1)'!$H$4*'Input (2) &amp; Process (1)'!$H$104</f>
        <v>23.734043901445773</v>
      </c>
      <c r="S183" s="6">
        <f>0.5*$S$168*('Input (1)'!$H$24*M183-M183^2)</f>
        <v>136.65600000000001</v>
      </c>
      <c r="T183" s="6">
        <f>0.5*$T$168*('Input (1)'!$H$24*M183-M183^2)</f>
        <v>1533.6296553399959</v>
      </c>
      <c r="U183" s="6">
        <f t="shared" si="0"/>
        <v>5305.4255485501144</v>
      </c>
      <c r="V183" s="6">
        <f t="shared" si="1"/>
        <v>10217.170647069273</v>
      </c>
      <c r="W183" s="6">
        <f t="shared" si="2"/>
        <v>8791.724029508694</v>
      </c>
      <c r="X183" s="6">
        <f t="shared" si="3"/>
        <v>5949.7423855226643</v>
      </c>
      <c r="Y183" s="6">
        <f t="shared" si="4"/>
        <v>9402.8989600000023</v>
      </c>
      <c r="Z183" s="6">
        <f t="shared" si="6"/>
        <v>4552.7687301826691</v>
      </c>
      <c r="AA183" s="6">
        <f t="shared" si="5"/>
        <v>10217.170647069273</v>
      </c>
    </row>
    <row r="184" spans="1:27" ht="18" customHeight="1" x14ac:dyDescent="0.25">
      <c r="M184" s="196">
        <f>'Process (3)'!M51</f>
        <v>15</v>
      </c>
      <c r="N184" s="6">
        <f>0.5*$N$168*('Input (1)'!$H$24*M184-M184^2)</f>
        <v>6016.0500000000011</v>
      </c>
      <c r="O184" s="6">
        <f>0.5*$O$168*('Input (1)'!$H$24*M184-M184^2)</f>
        <v>933.09375000000011</v>
      </c>
      <c r="P184" s="6">
        <f>0.5*$P$168*('Input (1)'!$H$24*M184-M184^2)</f>
        <v>-5769.4760562706033</v>
      </c>
      <c r="Q184" s="6">
        <f>0.5*$Q$168*('Input (1)'!$H$24*M184-M184^2)+0.5*'Input (2) &amp; Process (1)'!$H$62*'Input (2) &amp; Process (1)'!$H$12*'Input (2) &amp; Process (1)'!M184</f>
        <v>3683.4656250000003</v>
      </c>
      <c r="R184" s="6">
        <f>M184/'Input (2) &amp; Process (1)'!$H$4*'Input (2) &amp; Process (1)'!$H$104</f>
        <v>25.429332751549044</v>
      </c>
      <c r="S184" s="6">
        <f>0.5*$S$168*('Input (1)'!$H$24*M184-M184^2)</f>
        <v>140.78571428571428</v>
      </c>
      <c r="T184" s="6">
        <f>0.5*$T$168*('Input (1)'!$H$24*M184-M184^2)</f>
        <v>1579.975606462908</v>
      </c>
      <c r="U184" s="6">
        <f t="shared" si="0"/>
        <v>5503.341047705534</v>
      </c>
      <c r="V184" s="6">
        <f t="shared" si="1"/>
        <v>10593.587367682187</v>
      </c>
      <c r="W184" s="6">
        <f t="shared" si="2"/>
        <v>9110.0293845815668</v>
      </c>
      <c r="X184" s="6">
        <f t="shared" si="3"/>
        <v>6129.5422927774689</v>
      </c>
      <c r="Y184" s="6">
        <f t="shared" si="4"/>
        <v>9687.0525000000016</v>
      </c>
      <c r="Z184" s="6">
        <f t="shared" si="6"/>
        <v>4690.3524006002763</v>
      </c>
      <c r="AA184" s="6">
        <f t="shared" si="5"/>
        <v>10593.587367682187</v>
      </c>
    </row>
    <row r="185" spans="1:27" ht="18" customHeight="1" x14ac:dyDescent="0.25">
      <c r="M185" s="196">
        <f>'Process (3)'!M52</f>
        <v>16</v>
      </c>
      <c r="N185" s="6">
        <f>0.5*$N$168*('Input (1)'!$H$24*M185-M185^2)</f>
        <v>6160.4352000000017</v>
      </c>
      <c r="O185" s="6">
        <f>0.5*$O$168*('Input (1)'!$H$24*M185-M185^2)</f>
        <v>955.48800000000006</v>
      </c>
      <c r="P185" s="6">
        <f>0.5*$P$168*('Input (1)'!$H$24*M185-M185^2)</f>
        <v>-5907.9434816210978</v>
      </c>
      <c r="Q185" s="6">
        <f>0.5*$Q$168*('Input (1)'!$H$24*M185-M185^2)+0.5*'Input (2) &amp; Process (1)'!$H$62*'Input (2) &amp; Process (1)'!$H$12*'Input (2) &amp; Process (1)'!M185</f>
        <v>3812.4800000000005</v>
      </c>
      <c r="R185" s="6">
        <f>M185/'Input (2) &amp; Process (1)'!$H$4*'Input (2) &amp; Process (1)'!$H$104</f>
        <v>27.124621601652315</v>
      </c>
      <c r="S185" s="6">
        <f>0.5*$S$168*('Input (1)'!$H$24*M185-M185^2)</f>
        <v>144.16457142857143</v>
      </c>
      <c r="T185" s="6">
        <f>0.5*$T$168*('Input (1)'!$H$24*M185-M185^2)</f>
        <v>1617.8950210180178</v>
      </c>
      <c r="U185" s="6">
        <f t="shared" si="0"/>
        <v>5677.117417714534</v>
      </c>
      <c r="V185" s="6">
        <f t="shared" si="1"/>
        <v>10922.886597261881</v>
      </c>
      <c r="W185" s="6">
        <f t="shared" si="2"/>
        <v>9387.0447486212179</v>
      </c>
      <c r="X185" s="6">
        <f t="shared" si="3"/>
        <v>6276.6513078041289</v>
      </c>
      <c r="Y185" s="6">
        <f t="shared" si="4"/>
        <v>9919.5417600000019</v>
      </c>
      <c r="Z185" s="6">
        <f t="shared" si="6"/>
        <v>4802.920858214683</v>
      </c>
      <c r="AA185" s="6">
        <f t="shared" si="5"/>
        <v>10922.886597261881</v>
      </c>
    </row>
    <row r="186" spans="1:27" ht="18" customHeight="1" x14ac:dyDescent="0.25">
      <c r="M186" s="196">
        <f>'Process (3)'!M53</f>
        <v>17</v>
      </c>
      <c r="N186" s="6">
        <f>0.5*$N$168*('Input (1)'!$H$24*M186-M186^2)</f>
        <v>6272.7348000000011</v>
      </c>
      <c r="O186" s="6">
        <f>0.5*$O$168*('Input (1)'!$H$24*M186-M186^2)</f>
        <v>972.90575000000013</v>
      </c>
      <c r="P186" s="6">
        <f>0.5*$P$168*('Input (1)'!$H$24*M186-M186^2)</f>
        <v>-6015.6403680048152</v>
      </c>
      <c r="Q186" s="6">
        <f>0.5*$Q$168*('Input (1)'!$H$24*M186-M186^2)+0.5*'Input (2) &amp; Process (1)'!$H$62*'Input (2) &amp; Process (1)'!$H$12*'Input (2) &amp; Process (1)'!M186</f>
        <v>3926.9256249999999</v>
      </c>
      <c r="R186" s="6">
        <f>M186/'Input (2) &amp; Process (1)'!$H$4*'Input (2) &amp; Process (1)'!$H$104</f>
        <v>28.819910451755582</v>
      </c>
      <c r="S186" s="6">
        <f>0.5*$S$168*('Input (1)'!$H$24*M186-M186^2)</f>
        <v>146.79257142857142</v>
      </c>
      <c r="T186" s="6">
        <f>0.5*$T$168*('Input (1)'!$H$24*M186-M186^2)</f>
        <v>1647.3878990053254</v>
      </c>
      <c r="U186" s="6">
        <f t="shared" si="0"/>
        <v>5826.7546585771097</v>
      </c>
      <c r="V186" s="6">
        <f t="shared" si="1"/>
        <v>11205.068335808346</v>
      </c>
      <c r="W186" s="6">
        <f t="shared" si="2"/>
        <v>9622.7701216276437</v>
      </c>
      <c r="X186" s="6">
        <f t="shared" si="3"/>
        <v>6391.0694306026417</v>
      </c>
      <c r="Y186" s="6">
        <f t="shared" si="4"/>
        <v>10100.366740000001</v>
      </c>
      <c r="Z186" s="6">
        <f t="shared" si="6"/>
        <v>4890.4741030258874</v>
      </c>
      <c r="AA186" s="6">
        <f t="shared" si="5"/>
        <v>11205.068335808346</v>
      </c>
    </row>
    <row r="187" spans="1:27" ht="18" customHeight="1" x14ac:dyDescent="0.25">
      <c r="M187" s="196">
        <f>'Process (3)'!M54</f>
        <v>18</v>
      </c>
      <c r="N187" s="6">
        <f>0.5*$N$168*('Input (1)'!$H$24*M187-M187^2)</f>
        <v>6352.948800000001</v>
      </c>
      <c r="O187" s="6">
        <f>0.5*$O$168*('Input (1)'!$H$24*M187-M187^2)</f>
        <v>985.34700000000009</v>
      </c>
      <c r="P187" s="6">
        <f>0.5*$P$168*('Input (1)'!$H$24*M187-M187^2)</f>
        <v>-6092.5667154217563</v>
      </c>
      <c r="Q187" s="6">
        <f>0.5*$Q$168*('Input (1)'!$H$24*M187-M187^2)+0.5*'Input (2) &amp; Process (1)'!$H$62*'Input (2) &amp; Process (1)'!$H$12*'Input (2) &amp; Process (1)'!M187</f>
        <v>4026.8025000000002</v>
      </c>
      <c r="R187" s="6">
        <f>M187/'Input (2) &amp; Process (1)'!$H$4*'Input (2) &amp; Process (1)'!$H$104</f>
        <v>30.515199301858853</v>
      </c>
      <c r="S187" s="6">
        <f>0.5*$S$168*('Input (1)'!$H$24*M187-M187^2)</f>
        <v>148.66971428571429</v>
      </c>
      <c r="T187" s="6">
        <f>0.5*$T$168*('Input (1)'!$H$24*M187-M187^2)</f>
        <v>1668.4542404248307</v>
      </c>
      <c r="U187" s="6">
        <f t="shared" si="0"/>
        <v>5952.2527702932675</v>
      </c>
      <c r="V187" s="6">
        <f t="shared" si="1"/>
        <v>11440.132583321592</v>
      </c>
      <c r="W187" s="6">
        <f t="shared" si="2"/>
        <v>9817.2055036008478</v>
      </c>
      <c r="X187" s="6">
        <f t="shared" si="3"/>
        <v>6472.796661173008</v>
      </c>
      <c r="Y187" s="6">
        <f t="shared" si="4"/>
        <v>10229.527440000002</v>
      </c>
      <c r="Z187" s="6">
        <f t="shared" si="6"/>
        <v>4953.0121350338923</v>
      </c>
      <c r="AA187" s="6">
        <f t="shared" si="5"/>
        <v>11440.132583321592</v>
      </c>
    </row>
    <row r="188" spans="1:27" ht="18" customHeight="1" x14ac:dyDescent="0.25">
      <c r="M188" s="196">
        <f>'Process (3)'!M55</f>
        <v>19</v>
      </c>
      <c r="N188" s="6">
        <f>0.5*$N$168*('Input (1)'!$H$24*M188-M188^2)</f>
        <v>6401.0772000000015</v>
      </c>
      <c r="O188" s="6">
        <f>0.5*$O$168*('Input (1)'!$H$24*M188-M188^2)</f>
        <v>992.81175000000007</v>
      </c>
      <c r="P188" s="6">
        <f>0.5*$P$168*('Input (1)'!$H$24*M188-M188^2)</f>
        <v>-6138.7225238719211</v>
      </c>
      <c r="Q188" s="6">
        <f>0.5*$Q$168*('Input (1)'!$H$24*M188-M188^2)+0.5*'Input (2) &amp; Process (1)'!$H$62*'Input (2) &amp; Process (1)'!$H$12*'Input (2) &amp; Process (1)'!M188</f>
        <v>4112.1106250000003</v>
      </c>
      <c r="R188" s="6">
        <f>M188/'Input (2) &amp; Process (1)'!$H$4*'Input (2) &amp; Process (1)'!$H$104</f>
        <v>32.210488151962117</v>
      </c>
      <c r="S188" s="6">
        <f>0.5*$S$168*('Input (1)'!$H$24*M188-M188^2)</f>
        <v>149.79599999999999</v>
      </c>
      <c r="T188" s="6">
        <f>0.5*$T$168*('Input (1)'!$H$24*M188-M188^2)</f>
        <v>1681.094045276534</v>
      </c>
      <c r="U188" s="6">
        <f t="shared" si="0"/>
        <v>6053.6117528630029</v>
      </c>
      <c r="V188" s="6">
        <f t="shared" si="1"/>
        <v>11628.079339801612</v>
      </c>
      <c r="W188" s="6">
        <f t="shared" si="2"/>
        <v>9970.3508945408266</v>
      </c>
      <c r="X188" s="6">
        <f t="shared" si="3"/>
        <v>6521.8329995152271</v>
      </c>
      <c r="Y188" s="6">
        <f t="shared" si="4"/>
        <v>10307.023860000001</v>
      </c>
      <c r="Z188" s="6">
        <f t="shared" si="6"/>
        <v>4990.5349542386939</v>
      </c>
      <c r="AA188" s="6">
        <f t="shared" si="5"/>
        <v>11628.079339801612</v>
      </c>
    </row>
    <row r="189" spans="1:27" ht="18" customHeight="1" x14ac:dyDescent="0.25">
      <c r="M189" s="196">
        <f>'Process (3)'!M56</f>
        <v>20</v>
      </c>
      <c r="N189" s="6">
        <f>0.5*$N$168*('Input (1)'!$H$24*M189-M189^2)</f>
        <v>6417.1200000000017</v>
      </c>
      <c r="O189" s="6">
        <f>0.5*$O$168*('Input (1)'!$H$24*M189-M189^2)</f>
        <v>995.30000000000007</v>
      </c>
      <c r="P189" s="6">
        <f>0.5*$P$168*('Input (1)'!$H$24*M189-M189^2)</f>
        <v>-6154.1077933553097</v>
      </c>
      <c r="Q189" s="6">
        <f>0.5*$Q$168*('Input (1)'!$H$24*M189-M189^2)+0.5*'Input (2) &amp; Process (1)'!$H$62*'Input (2) &amp; Process (1)'!$H$12*'Input (2) &amp; Process (1)'!M189</f>
        <v>4182.8500000000004</v>
      </c>
      <c r="R189" s="6">
        <f>M189/'Input (2) &amp; Process (1)'!$H$4*'Input (2) &amp; Process (1)'!$H$104</f>
        <v>33.905777002065392</v>
      </c>
      <c r="S189" s="6">
        <f>0.5*$S$168*('Input (1)'!$H$24*M189-M189^2)</f>
        <v>150.17142857142858</v>
      </c>
      <c r="T189" s="6">
        <f>0.5*$T$168*('Input (1)'!$H$24*M189-M189^2)</f>
        <v>1685.3073135604352</v>
      </c>
      <c r="U189" s="6">
        <f t="shared" si="0"/>
        <v>6130.8316062863178</v>
      </c>
      <c r="V189" s="6">
        <f t="shared" si="1"/>
        <v>11768.908605248413</v>
      </c>
      <c r="W189" s="6">
        <f t="shared" si="2"/>
        <v>10082.206294447586</v>
      </c>
      <c r="X189" s="6">
        <f t="shared" si="3"/>
        <v>6538.1784456293026</v>
      </c>
      <c r="Y189" s="6">
        <f t="shared" si="4"/>
        <v>10332.856000000003</v>
      </c>
      <c r="Z189" s="6">
        <f t="shared" si="6"/>
        <v>5003.0425606402969</v>
      </c>
      <c r="AA189" s="6">
        <f t="shared" si="5"/>
        <v>11768.908605248413</v>
      </c>
    </row>
    <row r="192" spans="1:27" ht="18" customHeight="1" x14ac:dyDescent="0.25">
      <c r="L192" s="63" t="s">
        <v>1308</v>
      </c>
      <c r="M192" s="87" t="s">
        <v>862</v>
      </c>
    </row>
    <row r="193" spans="13:27" ht="18" customHeight="1" x14ac:dyDescent="0.25">
      <c r="M193" s="617"/>
      <c r="N193" s="159" t="s">
        <v>847</v>
      </c>
      <c r="O193" s="159" t="s">
        <v>848</v>
      </c>
      <c r="P193" s="159" t="s">
        <v>849</v>
      </c>
      <c r="Q193" s="159" t="s">
        <v>850</v>
      </c>
      <c r="R193" s="159" t="s">
        <v>851</v>
      </c>
      <c r="S193" s="159" t="s">
        <v>852</v>
      </c>
      <c r="T193" s="159" t="s">
        <v>853</v>
      </c>
      <c r="U193" s="159" t="s">
        <v>854</v>
      </c>
      <c r="V193" s="159" t="s">
        <v>855</v>
      </c>
      <c r="W193" s="159" t="s">
        <v>856</v>
      </c>
      <c r="X193" s="159" t="s">
        <v>857</v>
      </c>
      <c r="Y193" s="159" t="s">
        <v>858</v>
      </c>
      <c r="Z193" s="159" t="s">
        <v>859</v>
      </c>
      <c r="AA193" s="159" t="s">
        <v>860</v>
      </c>
    </row>
    <row r="194" spans="13:27" ht="18" customHeight="1" x14ac:dyDescent="0.25">
      <c r="M194" s="618"/>
      <c r="N194" s="194">
        <f t="shared" ref="N194:T194" si="7">N168</f>
        <v>32.085600000000007</v>
      </c>
      <c r="O194" s="194">
        <f t="shared" si="7"/>
        <v>4.9765000000000006</v>
      </c>
      <c r="P194" s="194">
        <f t="shared" si="7"/>
        <v>-30.770538966776549</v>
      </c>
      <c r="Q194" s="194">
        <f t="shared" si="7"/>
        <v>14.568750000000001</v>
      </c>
      <c r="R194" s="194">
        <f t="shared" si="7"/>
        <v>13.562310800826157</v>
      </c>
      <c r="S194" s="194">
        <f t="shared" si="7"/>
        <v>0.75085714285714289</v>
      </c>
      <c r="T194" s="194">
        <f t="shared" si="7"/>
        <v>8.4265365678021755</v>
      </c>
      <c r="U194" s="193" t="s">
        <v>40</v>
      </c>
      <c r="V194" s="193" t="s">
        <v>40</v>
      </c>
      <c r="W194" s="193" t="s">
        <v>40</v>
      </c>
      <c r="X194" s="193" t="s">
        <v>40</v>
      </c>
      <c r="Y194" s="193" t="s">
        <v>40</v>
      </c>
      <c r="Z194" s="193" t="s">
        <v>40</v>
      </c>
      <c r="AA194" s="193" t="s">
        <v>40</v>
      </c>
    </row>
    <row r="195" spans="13:27" ht="18" customHeight="1" x14ac:dyDescent="0.25">
      <c r="M195" s="196">
        <f t="shared" ref="M195:M215" si="8">M169</f>
        <v>0</v>
      </c>
      <c r="N195" s="6">
        <f t="shared" ref="N195:N215" si="9">$N$194*($M$215-M195)</f>
        <v>641.7120000000001</v>
      </c>
      <c r="O195" s="6">
        <f t="shared" ref="O195:O215" si="10">$O$194*($M$215-M195)</f>
        <v>99.530000000000015</v>
      </c>
      <c r="P195" s="6">
        <f t="shared" ref="P195:P215" si="11">$P$194*($M$215-M195)</f>
        <v>-615.41077933553095</v>
      </c>
      <c r="Q195" s="6">
        <f t="shared" ref="Q195:Q215" si="12">$Q$194*($M$215-M195)</f>
        <v>291.375</v>
      </c>
      <c r="R195" s="6">
        <f>'Input (2) &amp; Process (1)'!H104/'Input (2) &amp; Process (1)'!H54</f>
        <v>1.6952888501032697</v>
      </c>
      <c r="S195" s="6">
        <f t="shared" ref="S195:S215" si="13">$S$194*($M$215-M195)</f>
        <v>15.017142857142858</v>
      </c>
      <c r="T195" s="6">
        <f t="shared" ref="T195:T215" si="14">$T$194*($M$215-M195)</f>
        <v>168.5307313560435</v>
      </c>
      <c r="U195" s="6">
        <f t="shared" ref="U195:U215" si="15">SUM(N195:S195)+0.3*T195</f>
        <v>484.47787177852831</v>
      </c>
      <c r="V195" s="6">
        <f t="shared" ref="V195:V215" si="16">1.3*N195+2*O195+1*P195+1.8*(Q195+R195)</f>
        <v>945.40134059465515</v>
      </c>
      <c r="W195" s="6">
        <f t="shared" ref="W195:W215" si="17">1.3*N195+2*O195+P195+1.4*(Q195+R195)</f>
        <v>828.17322505461379</v>
      </c>
      <c r="X195" s="6">
        <f t="shared" ref="X195:X215" si="18">1.3*N195+2*O195+1*P195+1.4*T195</f>
        <v>653.81784456293008</v>
      </c>
      <c r="Y195" s="6">
        <f t="shared" ref="Y195:Y215" si="19">1.3*N195+2*O195</f>
        <v>1033.2856000000002</v>
      </c>
      <c r="Z195" s="6">
        <f t="shared" ref="Z195:Z215" si="20">1.3*O195+2*N195+P195+0.4*T195+1*S195</f>
        <v>879.83165606402963</v>
      </c>
      <c r="AA195" s="6">
        <f t="shared" ref="AA195:AA215" si="21">MAX(V195:Z195)</f>
        <v>1033.2856000000002</v>
      </c>
    </row>
    <row r="196" spans="13:27" ht="18" customHeight="1" x14ac:dyDescent="0.25">
      <c r="M196" s="196">
        <f t="shared" si="8"/>
        <v>1</v>
      </c>
      <c r="N196" s="6">
        <f t="shared" si="9"/>
        <v>609.6264000000001</v>
      </c>
      <c r="O196" s="6">
        <f t="shared" si="10"/>
        <v>94.553500000000014</v>
      </c>
      <c r="P196" s="6">
        <f t="shared" si="11"/>
        <v>-584.64024036875446</v>
      </c>
      <c r="Q196" s="6">
        <f t="shared" si="12"/>
        <v>276.80625000000003</v>
      </c>
      <c r="R196" s="6">
        <f t="shared" ref="R196:R215" si="22">R195</f>
        <v>1.6952888501032697</v>
      </c>
      <c r="S196" s="6">
        <f t="shared" si="13"/>
        <v>14.266285714285715</v>
      </c>
      <c r="T196" s="6">
        <f t="shared" si="14"/>
        <v>160.10419478824133</v>
      </c>
      <c r="U196" s="6">
        <f t="shared" si="15"/>
        <v>460.33874263210703</v>
      </c>
      <c r="V196" s="6">
        <f t="shared" si="16"/>
        <v>898.28384956143168</v>
      </c>
      <c r="W196" s="6">
        <f t="shared" si="17"/>
        <v>786.88323402139031</v>
      </c>
      <c r="X196" s="6">
        <f t="shared" si="18"/>
        <v>621.1269523347836</v>
      </c>
      <c r="Y196" s="6">
        <f t="shared" si="19"/>
        <v>981.6213200000002</v>
      </c>
      <c r="Z196" s="6">
        <f t="shared" si="20"/>
        <v>835.84007326082804</v>
      </c>
      <c r="AA196" s="6">
        <f t="shared" si="21"/>
        <v>981.6213200000002</v>
      </c>
    </row>
    <row r="197" spans="13:27" ht="18" customHeight="1" x14ac:dyDescent="0.25">
      <c r="M197" s="196">
        <f t="shared" si="8"/>
        <v>2</v>
      </c>
      <c r="N197" s="6">
        <f t="shared" si="9"/>
        <v>577.5408000000001</v>
      </c>
      <c r="O197" s="6">
        <f t="shared" si="10"/>
        <v>89.577000000000012</v>
      </c>
      <c r="P197" s="6">
        <f t="shared" si="11"/>
        <v>-553.86970140197786</v>
      </c>
      <c r="Q197" s="6">
        <f t="shared" si="12"/>
        <v>262.23750000000001</v>
      </c>
      <c r="R197" s="6">
        <f t="shared" si="22"/>
        <v>1.6952888501032697</v>
      </c>
      <c r="S197" s="6">
        <f t="shared" si="13"/>
        <v>13.515428571428572</v>
      </c>
      <c r="T197" s="6">
        <f t="shared" si="14"/>
        <v>151.67765822043916</v>
      </c>
      <c r="U197" s="6">
        <f t="shared" si="15"/>
        <v>436.19961348568586</v>
      </c>
      <c r="V197" s="6">
        <f t="shared" si="16"/>
        <v>851.16635852820821</v>
      </c>
      <c r="W197" s="6">
        <f t="shared" si="17"/>
        <v>745.59324298816682</v>
      </c>
      <c r="X197" s="6">
        <f t="shared" si="18"/>
        <v>588.43606010663711</v>
      </c>
      <c r="Y197" s="6">
        <f t="shared" si="19"/>
        <v>929.95704000000012</v>
      </c>
      <c r="Z197" s="6">
        <f t="shared" si="20"/>
        <v>791.84849045762667</v>
      </c>
      <c r="AA197" s="6">
        <f t="shared" si="21"/>
        <v>929.95704000000012</v>
      </c>
    </row>
    <row r="198" spans="13:27" ht="18" customHeight="1" x14ac:dyDescent="0.25">
      <c r="M198" s="196">
        <f t="shared" si="8"/>
        <v>3</v>
      </c>
      <c r="N198" s="6">
        <f t="shared" si="9"/>
        <v>545.4552000000001</v>
      </c>
      <c r="O198" s="6">
        <f t="shared" si="10"/>
        <v>84.600500000000011</v>
      </c>
      <c r="P198" s="6">
        <f t="shared" si="11"/>
        <v>-523.09916243520138</v>
      </c>
      <c r="Q198" s="6">
        <f t="shared" si="12"/>
        <v>247.66875000000002</v>
      </c>
      <c r="R198" s="6">
        <f t="shared" si="22"/>
        <v>1.6952888501032697</v>
      </c>
      <c r="S198" s="6">
        <f t="shared" si="13"/>
        <v>12.764571428571429</v>
      </c>
      <c r="T198" s="6">
        <f t="shared" si="14"/>
        <v>143.25112165263698</v>
      </c>
      <c r="U198" s="6">
        <f t="shared" si="15"/>
        <v>412.06048433926458</v>
      </c>
      <c r="V198" s="6">
        <f t="shared" si="16"/>
        <v>804.04886749498473</v>
      </c>
      <c r="W198" s="6">
        <f t="shared" si="17"/>
        <v>704.30325195494333</v>
      </c>
      <c r="X198" s="6">
        <f t="shared" si="18"/>
        <v>555.74516787849052</v>
      </c>
      <c r="Y198" s="6">
        <f t="shared" si="19"/>
        <v>878.29276000000016</v>
      </c>
      <c r="Z198" s="6">
        <f t="shared" si="20"/>
        <v>747.85690765442507</v>
      </c>
      <c r="AA198" s="6">
        <f t="shared" si="21"/>
        <v>878.29276000000016</v>
      </c>
    </row>
    <row r="199" spans="13:27" ht="18" customHeight="1" x14ac:dyDescent="0.25">
      <c r="M199" s="196">
        <f t="shared" si="8"/>
        <v>4</v>
      </c>
      <c r="N199" s="6">
        <f t="shared" si="9"/>
        <v>513.3696000000001</v>
      </c>
      <c r="O199" s="6">
        <f t="shared" si="10"/>
        <v>79.624000000000009</v>
      </c>
      <c r="P199" s="6">
        <f t="shared" si="11"/>
        <v>-492.32862346842478</v>
      </c>
      <c r="Q199" s="6">
        <f t="shared" si="12"/>
        <v>233.10000000000002</v>
      </c>
      <c r="R199" s="6">
        <f t="shared" si="22"/>
        <v>1.6952888501032697</v>
      </c>
      <c r="S199" s="6">
        <f t="shared" si="13"/>
        <v>12.013714285714286</v>
      </c>
      <c r="T199" s="6">
        <f t="shared" si="14"/>
        <v>134.82458508483481</v>
      </c>
      <c r="U199" s="6">
        <f t="shared" si="15"/>
        <v>387.92135519284341</v>
      </c>
      <c r="V199" s="6">
        <f t="shared" si="16"/>
        <v>756.93137646176137</v>
      </c>
      <c r="W199" s="6">
        <f t="shared" si="17"/>
        <v>663.01326092172008</v>
      </c>
      <c r="X199" s="6">
        <f t="shared" si="18"/>
        <v>523.05427565034415</v>
      </c>
      <c r="Y199" s="6">
        <f t="shared" si="19"/>
        <v>826.6284800000002</v>
      </c>
      <c r="Z199" s="6">
        <f t="shared" si="20"/>
        <v>703.86532485122359</v>
      </c>
      <c r="AA199" s="6">
        <f t="shared" si="21"/>
        <v>826.6284800000002</v>
      </c>
    </row>
    <row r="200" spans="13:27" ht="18" customHeight="1" x14ac:dyDescent="0.25">
      <c r="M200" s="196">
        <f t="shared" si="8"/>
        <v>5</v>
      </c>
      <c r="N200" s="6">
        <f t="shared" si="9"/>
        <v>481.28400000000011</v>
      </c>
      <c r="O200" s="6">
        <f t="shared" si="10"/>
        <v>74.647500000000008</v>
      </c>
      <c r="P200" s="6">
        <f t="shared" si="11"/>
        <v>-461.55808450164824</v>
      </c>
      <c r="Q200" s="6">
        <f t="shared" si="12"/>
        <v>218.53125000000003</v>
      </c>
      <c r="R200" s="6">
        <f t="shared" si="22"/>
        <v>1.6952888501032697</v>
      </c>
      <c r="S200" s="6">
        <f t="shared" si="13"/>
        <v>11.262857142857143</v>
      </c>
      <c r="T200" s="6">
        <f t="shared" si="14"/>
        <v>126.39804851703263</v>
      </c>
      <c r="U200" s="6">
        <f t="shared" si="15"/>
        <v>363.78222604642218</v>
      </c>
      <c r="V200" s="6">
        <f t="shared" si="16"/>
        <v>709.81388542853779</v>
      </c>
      <c r="W200" s="6">
        <f t="shared" si="17"/>
        <v>621.72326988849647</v>
      </c>
      <c r="X200" s="6">
        <f t="shared" si="18"/>
        <v>490.36338342219756</v>
      </c>
      <c r="Y200" s="6">
        <f t="shared" si="19"/>
        <v>774.96420000000012</v>
      </c>
      <c r="Z200" s="6">
        <f t="shared" si="20"/>
        <v>659.87374204802234</v>
      </c>
      <c r="AA200" s="6">
        <f t="shared" si="21"/>
        <v>774.96420000000012</v>
      </c>
    </row>
    <row r="201" spans="13:27" ht="18" customHeight="1" x14ac:dyDescent="0.25">
      <c r="M201" s="196">
        <f t="shared" si="8"/>
        <v>6</v>
      </c>
      <c r="N201" s="6">
        <f t="shared" si="9"/>
        <v>449.19840000000011</v>
      </c>
      <c r="O201" s="6">
        <f t="shared" si="10"/>
        <v>69.671000000000006</v>
      </c>
      <c r="P201" s="6">
        <f t="shared" si="11"/>
        <v>-430.7875455348717</v>
      </c>
      <c r="Q201" s="6">
        <f t="shared" si="12"/>
        <v>203.96250000000003</v>
      </c>
      <c r="R201" s="6">
        <f t="shared" si="22"/>
        <v>1.6952888501032697</v>
      </c>
      <c r="S201" s="6">
        <f t="shared" si="13"/>
        <v>10.512</v>
      </c>
      <c r="T201" s="6">
        <f t="shared" si="14"/>
        <v>117.97151194923046</v>
      </c>
      <c r="U201" s="6">
        <f t="shared" si="15"/>
        <v>339.6430969000009</v>
      </c>
      <c r="V201" s="6">
        <f t="shared" si="16"/>
        <v>662.69639439531443</v>
      </c>
      <c r="W201" s="6">
        <f t="shared" si="17"/>
        <v>580.4332788552731</v>
      </c>
      <c r="X201" s="6">
        <f t="shared" si="18"/>
        <v>457.67249119405108</v>
      </c>
      <c r="Y201" s="6">
        <f t="shared" si="19"/>
        <v>723.29992000000016</v>
      </c>
      <c r="Z201" s="6">
        <f t="shared" si="20"/>
        <v>615.88215924482074</v>
      </c>
      <c r="AA201" s="6">
        <f t="shared" si="21"/>
        <v>723.29992000000016</v>
      </c>
    </row>
    <row r="202" spans="13:27" ht="18" customHeight="1" x14ac:dyDescent="0.25">
      <c r="M202" s="196">
        <f t="shared" si="8"/>
        <v>7</v>
      </c>
      <c r="N202" s="6">
        <f t="shared" si="9"/>
        <v>417.11280000000011</v>
      </c>
      <c r="O202" s="6">
        <f t="shared" si="10"/>
        <v>64.694500000000005</v>
      </c>
      <c r="P202" s="6">
        <f t="shared" si="11"/>
        <v>-400.01700656809516</v>
      </c>
      <c r="Q202" s="6">
        <f t="shared" si="12"/>
        <v>189.39375000000001</v>
      </c>
      <c r="R202" s="6">
        <f t="shared" si="22"/>
        <v>1.6952888501032697</v>
      </c>
      <c r="S202" s="6">
        <f t="shared" si="13"/>
        <v>9.7611428571428576</v>
      </c>
      <c r="T202" s="6">
        <f t="shared" si="14"/>
        <v>109.54497538142829</v>
      </c>
      <c r="U202" s="6">
        <f t="shared" si="15"/>
        <v>315.50396775357962</v>
      </c>
      <c r="V202" s="6">
        <f t="shared" si="16"/>
        <v>615.57890336209095</v>
      </c>
      <c r="W202" s="6">
        <f t="shared" si="17"/>
        <v>539.14328782204961</v>
      </c>
      <c r="X202" s="6">
        <f t="shared" si="18"/>
        <v>424.9815989659046</v>
      </c>
      <c r="Y202" s="6">
        <f t="shared" si="19"/>
        <v>671.63564000000019</v>
      </c>
      <c r="Z202" s="6">
        <f t="shared" si="20"/>
        <v>571.89057644161915</v>
      </c>
      <c r="AA202" s="6">
        <f t="shared" si="21"/>
        <v>671.63564000000019</v>
      </c>
    </row>
    <row r="203" spans="13:27" ht="18" customHeight="1" x14ac:dyDescent="0.25">
      <c r="M203" s="196">
        <f t="shared" si="8"/>
        <v>8</v>
      </c>
      <c r="N203" s="6">
        <f t="shared" si="9"/>
        <v>385.02720000000011</v>
      </c>
      <c r="O203" s="6">
        <f t="shared" si="10"/>
        <v>59.718000000000004</v>
      </c>
      <c r="P203" s="6">
        <f t="shared" si="11"/>
        <v>-369.24646760131861</v>
      </c>
      <c r="Q203" s="6">
        <f t="shared" si="12"/>
        <v>174.82500000000002</v>
      </c>
      <c r="R203" s="6">
        <f t="shared" si="22"/>
        <v>1.6952888501032697</v>
      </c>
      <c r="S203" s="6">
        <f t="shared" si="13"/>
        <v>9.0102857142857147</v>
      </c>
      <c r="T203" s="6">
        <f t="shared" si="14"/>
        <v>101.11843881362611</v>
      </c>
      <c r="U203" s="6">
        <f t="shared" si="15"/>
        <v>291.36483860715839</v>
      </c>
      <c r="V203" s="6">
        <f t="shared" si="16"/>
        <v>568.46141232886748</v>
      </c>
      <c r="W203" s="6">
        <f t="shared" si="17"/>
        <v>497.85329678882613</v>
      </c>
      <c r="X203" s="6">
        <f t="shared" si="18"/>
        <v>392.29070673775806</v>
      </c>
      <c r="Y203" s="6">
        <f t="shared" si="19"/>
        <v>619.97136000000012</v>
      </c>
      <c r="Z203" s="6">
        <f t="shared" si="20"/>
        <v>527.89899363841778</v>
      </c>
      <c r="AA203" s="6">
        <f t="shared" si="21"/>
        <v>619.97136000000012</v>
      </c>
    </row>
    <row r="204" spans="13:27" ht="18" customHeight="1" x14ac:dyDescent="0.25">
      <c r="M204" s="196">
        <f t="shared" si="8"/>
        <v>9</v>
      </c>
      <c r="N204" s="6">
        <f t="shared" si="9"/>
        <v>352.94160000000005</v>
      </c>
      <c r="O204" s="6">
        <f t="shared" si="10"/>
        <v>54.741500000000009</v>
      </c>
      <c r="P204" s="6">
        <f t="shared" si="11"/>
        <v>-338.47592863454202</v>
      </c>
      <c r="Q204" s="6">
        <f t="shared" si="12"/>
        <v>160.25625000000002</v>
      </c>
      <c r="R204" s="6">
        <f t="shared" si="22"/>
        <v>1.6952888501032697</v>
      </c>
      <c r="S204" s="6">
        <f t="shared" si="13"/>
        <v>8.2594285714285718</v>
      </c>
      <c r="T204" s="6">
        <f t="shared" si="14"/>
        <v>92.691902245823925</v>
      </c>
      <c r="U204" s="6">
        <f t="shared" si="15"/>
        <v>267.22570946073711</v>
      </c>
      <c r="V204" s="6">
        <f t="shared" si="16"/>
        <v>521.34392129564412</v>
      </c>
      <c r="W204" s="6">
        <f t="shared" si="17"/>
        <v>456.56330575560276</v>
      </c>
      <c r="X204" s="6">
        <f t="shared" si="18"/>
        <v>359.59981450961163</v>
      </c>
      <c r="Y204" s="6">
        <f t="shared" si="19"/>
        <v>568.30708000000016</v>
      </c>
      <c r="Z204" s="6">
        <f t="shared" si="20"/>
        <v>483.90741083521618</v>
      </c>
      <c r="AA204" s="6">
        <f t="shared" si="21"/>
        <v>568.30708000000016</v>
      </c>
    </row>
    <row r="205" spans="13:27" ht="18" customHeight="1" x14ac:dyDescent="0.25">
      <c r="M205" s="196">
        <f t="shared" si="8"/>
        <v>10</v>
      </c>
      <c r="N205" s="6">
        <f t="shared" si="9"/>
        <v>320.85600000000005</v>
      </c>
      <c r="O205" s="6">
        <f t="shared" si="10"/>
        <v>49.765000000000008</v>
      </c>
      <c r="P205" s="6">
        <f t="shared" si="11"/>
        <v>-307.70538966776547</v>
      </c>
      <c r="Q205" s="6">
        <f t="shared" si="12"/>
        <v>145.6875</v>
      </c>
      <c r="R205" s="6">
        <f t="shared" si="22"/>
        <v>1.6952888501032697</v>
      </c>
      <c r="S205" s="6">
        <f t="shared" si="13"/>
        <v>7.5085714285714289</v>
      </c>
      <c r="T205" s="6">
        <f t="shared" si="14"/>
        <v>84.265365678021752</v>
      </c>
      <c r="U205" s="6">
        <f t="shared" si="15"/>
        <v>243.0865803143158</v>
      </c>
      <c r="V205" s="6">
        <f t="shared" si="16"/>
        <v>474.22643026242054</v>
      </c>
      <c r="W205" s="6">
        <f t="shared" si="17"/>
        <v>415.27331472237915</v>
      </c>
      <c r="X205" s="6">
        <f t="shared" si="18"/>
        <v>326.90892228146504</v>
      </c>
      <c r="Y205" s="6">
        <f t="shared" si="19"/>
        <v>516.64280000000008</v>
      </c>
      <c r="Z205" s="6">
        <f t="shared" si="20"/>
        <v>439.91582803201482</v>
      </c>
      <c r="AA205" s="6">
        <f t="shared" si="21"/>
        <v>516.64280000000008</v>
      </c>
    </row>
    <row r="206" spans="13:27" ht="18" customHeight="1" x14ac:dyDescent="0.25">
      <c r="M206" s="196">
        <f t="shared" si="8"/>
        <v>11</v>
      </c>
      <c r="N206" s="6">
        <f t="shared" si="9"/>
        <v>288.77040000000005</v>
      </c>
      <c r="O206" s="6">
        <f t="shared" si="10"/>
        <v>44.788500000000006</v>
      </c>
      <c r="P206" s="6">
        <f t="shared" si="11"/>
        <v>-276.93485070098893</v>
      </c>
      <c r="Q206" s="6">
        <f t="shared" si="12"/>
        <v>131.11875000000001</v>
      </c>
      <c r="R206" s="6">
        <f t="shared" si="22"/>
        <v>1.6952888501032697</v>
      </c>
      <c r="S206" s="6">
        <f t="shared" si="13"/>
        <v>6.757714285714286</v>
      </c>
      <c r="T206" s="6">
        <f t="shared" si="14"/>
        <v>75.838829110219578</v>
      </c>
      <c r="U206" s="6">
        <f t="shared" si="15"/>
        <v>218.94745116789457</v>
      </c>
      <c r="V206" s="6">
        <f t="shared" si="16"/>
        <v>427.10893922919706</v>
      </c>
      <c r="W206" s="6">
        <f t="shared" si="17"/>
        <v>373.98332368915572</v>
      </c>
      <c r="X206" s="6">
        <f t="shared" si="18"/>
        <v>294.21803005331856</v>
      </c>
      <c r="Y206" s="6">
        <f t="shared" si="19"/>
        <v>464.97852000000006</v>
      </c>
      <c r="Z206" s="6">
        <f t="shared" si="20"/>
        <v>395.92424522881333</v>
      </c>
      <c r="AA206" s="6">
        <f t="shared" si="21"/>
        <v>464.97852000000006</v>
      </c>
    </row>
    <row r="207" spans="13:27" ht="18" customHeight="1" x14ac:dyDescent="0.25">
      <c r="M207" s="196">
        <f t="shared" si="8"/>
        <v>12</v>
      </c>
      <c r="N207" s="6">
        <f t="shared" si="9"/>
        <v>256.68480000000005</v>
      </c>
      <c r="O207" s="6">
        <f t="shared" si="10"/>
        <v>39.812000000000005</v>
      </c>
      <c r="P207" s="6">
        <f t="shared" si="11"/>
        <v>-246.16431173421239</v>
      </c>
      <c r="Q207" s="6">
        <f t="shared" si="12"/>
        <v>116.55000000000001</v>
      </c>
      <c r="R207" s="6">
        <f t="shared" si="22"/>
        <v>1.6952888501032697</v>
      </c>
      <c r="S207" s="6">
        <f t="shared" si="13"/>
        <v>6.0068571428571431</v>
      </c>
      <c r="T207" s="6">
        <f t="shared" si="14"/>
        <v>67.412292542417404</v>
      </c>
      <c r="U207" s="6">
        <f t="shared" si="15"/>
        <v>194.80832202147332</v>
      </c>
      <c r="V207" s="6">
        <f t="shared" si="16"/>
        <v>379.99144819597359</v>
      </c>
      <c r="W207" s="6">
        <f t="shared" si="17"/>
        <v>332.69333265593229</v>
      </c>
      <c r="X207" s="6">
        <f t="shared" si="18"/>
        <v>261.52713782517208</v>
      </c>
      <c r="Y207" s="6">
        <f t="shared" si="19"/>
        <v>413.3142400000001</v>
      </c>
      <c r="Z207" s="6">
        <f t="shared" si="20"/>
        <v>351.9326624256118</v>
      </c>
      <c r="AA207" s="6">
        <f t="shared" si="21"/>
        <v>413.3142400000001</v>
      </c>
    </row>
    <row r="208" spans="13:27" ht="18" customHeight="1" x14ac:dyDescent="0.25">
      <c r="M208" s="196">
        <f t="shared" si="8"/>
        <v>13</v>
      </c>
      <c r="N208" s="6">
        <f t="shared" si="9"/>
        <v>224.59920000000005</v>
      </c>
      <c r="O208" s="6">
        <f t="shared" si="10"/>
        <v>34.835500000000003</v>
      </c>
      <c r="P208" s="6">
        <f t="shared" si="11"/>
        <v>-215.39377276743585</v>
      </c>
      <c r="Q208" s="6">
        <f t="shared" si="12"/>
        <v>101.98125000000002</v>
      </c>
      <c r="R208" s="6">
        <f t="shared" si="22"/>
        <v>1.6952888501032697</v>
      </c>
      <c r="S208" s="6">
        <f t="shared" si="13"/>
        <v>5.2560000000000002</v>
      </c>
      <c r="T208" s="6">
        <f t="shared" si="14"/>
        <v>58.98575597461523</v>
      </c>
      <c r="U208" s="6">
        <f t="shared" si="15"/>
        <v>170.66919287505209</v>
      </c>
      <c r="V208" s="6">
        <f t="shared" si="16"/>
        <v>332.87395716275012</v>
      </c>
      <c r="W208" s="6">
        <f t="shared" si="17"/>
        <v>291.40334162270881</v>
      </c>
      <c r="X208" s="6">
        <f t="shared" si="18"/>
        <v>228.83624559702554</v>
      </c>
      <c r="Y208" s="6">
        <f t="shared" si="19"/>
        <v>361.64996000000008</v>
      </c>
      <c r="Z208" s="6">
        <f t="shared" si="20"/>
        <v>307.94107962241037</v>
      </c>
      <c r="AA208" s="6">
        <f t="shared" si="21"/>
        <v>361.64996000000008</v>
      </c>
    </row>
    <row r="209" spans="13:27" ht="18" customHeight="1" x14ac:dyDescent="0.25">
      <c r="M209" s="196">
        <f t="shared" si="8"/>
        <v>14</v>
      </c>
      <c r="N209" s="6">
        <f t="shared" si="9"/>
        <v>192.51360000000005</v>
      </c>
      <c r="O209" s="6">
        <f t="shared" si="10"/>
        <v>29.859000000000002</v>
      </c>
      <c r="P209" s="6">
        <f t="shared" si="11"/>
        <v>-184.62323380065931</v>
      </c>
      <c r="Q209" s="6">
        <f t="shared" si="12"/>
        <v>87.412500000000009</v>
      </c>
      <c r="R209" s="6">
        <f t="shared" si="22"/>
        <v>1.6952888501032697</v>
      </c>
      <c r="S209" s="6">
        <f t="shared" si="13"/>
        <v>4.5051428571428573</v>
      </c>
      <c r="T209" s="6">
        <f t="shared" si="14"/>
        <v>50.559219406813057</v>
      </c>
      <c r="U209" s="6">
        <f t="shared" si="15"/>
        <v>146.53006372863081</v>
      </c>
      <c r="V209" s="6">
        <f t="shared" si="16"/>
        <v>285.75646612952664</v>
      </c>
      <c r="W209" s="6">
        <f t="shared" si="17"/>
        <v>250.11335058948532</v>
      </c>
      <c r="X209" s="6">
        <f t="shared" si="18"/>
        <v>196.14535336887903</v>
      </c>
      <c r="Y209" s="6">
        <f t="shared" si="19"/>
        <v>309.98568000000006</v>
      </c>
      <c r="Z209" s="6">
        <f t="shared" si="20"/>
        <v>263.94949681920889</v>
      </c>
      <c r="AA209" s="6">
        <f t="shared" si="21"/>
        <v>309.98568000000006</v>
      </c>
    </row>
    <row r="210" spans="13:27" ht="18" customHeight="1" x14ac:dyDescent="0.25">
      <c r="M210" s="196">
        <f t="shared" si="8"/>
        <v>15</v>
      </c>
      <c r="N210" s="6">
        <f t="shared" si="9"/>
        <v>160.42800000000003</v>
      </c>
      <c r="O210" s="6">
        <f t="shared" si="10"/>
        <v>24.882500000000004</v>
      </c>
      <c r="P210" s="6">
        <f t="shared" si="11"/>
        <v>-153.85269483388274</v>
      </c>
      <c r="Q210" s="6">
        <f t="shared" si="12"/>
        <v>72.84375</v>
      </c>
      <c r="R210" s="6">
        <f t="shared" si="22"/>
        <v>1.6952888501032697</v>
      </c>
      <c r="S210" s="6">
        <f t="shared" si="13"/>
        <v>3.7542857142857144</v>
      </c>
      <c r="T210" s="6">
        <f t="shared" si="14"/>
        <v>42.132682839010876</v>
      </c>
      <c r="U210" s="6">
        <f t="shared" si="15"/>
        <v>122.39093458220952</v>
      </c>
      <c r="V210" s="6">
        <f t="shared" si="16"/>
        <v>238.6389750963032</v>
      </c>
      <c r="W210" s="6">
        <f t="shared" si="17"/>
        <v>208.82335955626189</v>
      </c>
      <c r="X210" s="6">
        <f t="shared" si="18"/>
        <v>163.45446114073252</v>
      </c>
      <c r="Y210" s="6">
        <f t="shared" si="19"/>
        <v>258.32140000000004</v>
      </c>
      <c r="Z210" s="6">
        <f t="shared" si="20"/>
        <v>219.95791401600741</v>
      </c>
      <c r="AA210" s="6">
        <f t="shared" si="21"/>
        <v>258.32140000000004</v>
      </c>
    </row>
    <row r="211" spans="13:27" ht="18" customHeight="1" x14ac:dyDescent="0.25">
      <c r="M211" s="196">
        <f t="shared" si="8"/>
        <v>16</v>
      </c>
      <c r="N211" s="6">
        <f t="shared" si="9"/>
        <v>128.34240000000003</v>
      </c>
      <c r="O211" s="6">
        <f t="shared" si="10"/>
        <v>19.906000000000002</v>
      </c>
      <c r="P211" s="6">
        <f t="shared" si="11"/>
        <v>-123.0821558671062</v>
      </c>
      <c r="Q211" s="6">
        <f t="shared" si="12"/>
        <v>58.275000000000006</v>
      </c>
      <c r="R211" s="6">
        <f t="shared" si="22"/>
        <v>1.6952888501032697</v>
      </c>
      <c r="S211" s="6">
        <f t="shared" si="13"/>
        <v>3.0034285714285716</v>
      </c>
      <c r="T211" s="6">
        <f t="shared" si="14"/>
        <v>33.706146271208702</v>
      </c>
      <c r="U211" s="6">
        <f t="shared" si="15"/>
        <v>98.251805435788299</v>
      </c>
      <c r="V211" s="6">
        <f t="shared" si="16"/>
        <v>191.52148406307975</v>
      </c>
      <c r="W211" s="6">
        <f t="shared" si="17"/>
        <v>167.53336852303843</v>
      </c>
      <c r="X211" s="6">
        <f t="shared" si="18"/>
        <v>130.76356891258604</v>
      </c>
      <c r="Y211" s="6">
        <f t="shared" si="19"/>
        <v>206.65712000000005</v>
      </c>
      <c r="Z211" s="6">
        <f t="shared" si="20"/>
        <v>175.9663312128059</v>
      </c>
      <c r="AA211" s="6">
        <f t="shared" si="21"/>
        <v>206.65712000000005</v>
      </c>
    </row>
    <row r="212" spans="13:27" ht="18" customHeight="1" x14ac:dyDescent="0.25">
      <c r="M212" s="196">
        <f t="shared" si="8"/>
        <v>17</v>
      </c>
      <c r="N212" s="6">
        <f t="shared" si="9"/>
        <v>96.256800000000027</v>
      </c>
      <c r="O212" s="6">
        <f t="shared" si="10"/>
        <v>14.929500000000001</v>
      </c>
      <c r="P212" s="6">
        <f t="shared" si="11"/>
        <v>-92.311616900329653</v>
      </c>
      <c r="Q212" s="6">
        <f t="shared" si="12"/>
        <v>43.706250000000004</v>
      </c>
      <c r="R212" s="6">
        <f t="shared" si="22"/>
        <v>1.6952888501032697</v>
      </c>
      <c r="S212" s="6">
        <f t="shared" si="13"/>
        <v>2.2525714285714287</v>
      </c>
      <c r="T212" s="6">
        <f t="shared" si="14"/>
        <v>25.279609703406528</v>
      </c>
      <c r="U212" s="6">
        <f t="shared" si="15"/>
        <v>74.112676289367045</v>
      </c>
      <c r="V212" s="6">
        <f t="shared" si="16"/>
        <v>144.40399302985628</v>
      </c>
      <c r="W212" s="6">
        <f t="shared" si="17"/>
        <v>126.24337748981495</v>
      </c>
      <c r="X212" s="6">
        <f t="shared" si="18"/>
        <v>98.072676684439514</v>
      </c>
      <c r="Y212" s="6">
        <f t="shared" si="19"/>
        <v>154.99284000000003</v>
      </c>
      <c r="Z212" s="6">
        <f t="shared" si="20"/>
        <v>131.97474840960444</v>
      </c>
      <c r="AA212" s="6">
        <f t="shared" si="21"/>
        <v>154.99284000000003</v>
      </c>
    </row>
    <row r="213" spans="13:27" ht="18" customHeight="1" x14ac:dyDescent="0.25">
      <c r="M213" s="196">
        <f t="shared" si="8"/>
        <v>18</v>
      </c>
      <c r="N213" s="6">
        <f t="shared" si="9"/>
        <v>64.171200000000013</v>
      </c>
      <c r="O213" s="6">
        <f t="shared" si="10"/>
        <v>9.9530000000000012</v>
      </c>
      <c r="P213" s="6">
        <f t="shared" si="11"/>
        <v>-61.541077933553098</v>
      </c>
      <c r="Q213" s="6">
        <f t="shared" si="12"/>
        <v>29.137500000000003</v>
      </c>
      <c r="R213" s="6">
        <f t="shared" si="22"/>
        <v>1.6952888501032697</v>
      </c>
      <c r="S213" s="6">
        <f t="shared" si="13"/>
        <v>1.5017142857142858</v>
      </c>
      <c r="T213" s="6">
        <f t="shared" si="14"/>
        <v>16.853073135604351</v>
      </c>
      <c r="U213" s="6">
        <f t="shared" si="15"/>
        <v>49.973547142945776</v>
      </c>
      <c r="V213" s="6">
        <f t="shared" si="16"/>
        <v>97.286501996632822</v>
      </c>
      <c r="W213" s="6">
        <f t="shared" si="17"/>
        <v>84.953386456591517</v>
      </c>
      <c r="X213" s="6">
        <f t="shared" si="18"/>
        <v>65.381784456293019</v>
      </c>
      <c r="Y213" s="6">
        <f t="shared" si="19"/>
        <v>103.32856000000002</v>
      </c>
      <c r="Z213" s="6">
        <f t="shared" si="20"/>
        <v>87.983165606402949</v>
      </c>
      <c r="AA213" s="6">
        <f t="shared" si="21"/>
        <v>103.32856000000002</v>
      </c>
    </row>
    <row r="214" spans="13:27" ht="18" customHeight="1" x14ac:dyDescent="0.25">
      <c r="M214" s="196">
        <f t="shared" si="8"/>
        <v>19</v>
      </c>
      <c r="N214" s="6">
        <f t="shared" si="9"/>
        <v>32.085600000000007</v>
      </c>
      <c r="O214" s="6">
        <f t="shared" si="10"/>
        <v>4.9765000000000006</v>
      </c>
      <c r="P214" s="6">
        <f t="shared" si="11"/>
        <v>-30.770538966776549</v>
      </c>
      <c r="Q214" s="6">
        <f t="shared" si="12"/>
        <v>14.568750000000001</v>
      </c>
      <c r="R214" s="6">
        <f t="shared" si="22"/>
        <v>1.6952888501032697</v>
      </c>
      <c r="S214" s="6">
        <f t="shared" si="13"/>
        <v>0.75085714285714289</v>
      </c>
      <c r="T214" s="6">
        <f t="shared" si="14"/>
        <v>8.4265365678021755</v>
      </c>
      <c r="U214" s="6">
        <f t="shared" si="15"/>
        <v>25.834417996524529</v>
      </c>
      <c r="V214" s="6">
        <f t="shared" si="16"/>
        <v>50.169010963409356</v>
      </c>
      <c r="W214" s="6">
        <f t="shared" si="17"/>
        <v>43.663395423368044</v>
      </c>
      <c r="X214" s="6">
        <f t="shared" si="18"/>
        <v>32.69089222814651</v>
      </c>
      <c r="Y214" s="6">
        <f t="shared" si="19"/>
        <v>51.664280000000012</v>
      </c>
      <c r="Z214" s="6">
        <f t="shared" si="20"/>
        <v>43.991582803201474</v>
      </c>
      <c r="AA214" s="6">
        <f t="shared" si="21"/>
        <v>51.664280000000012</v>
      </c>
    </row>
    <row r="215" spans="13:27" ht="18" customHeight="1" x14ac:dyDescent="0.25">
      <c r="M215" s="196">
        <f t="shared" si="8"/>
        <v>20</v>
      </c>
      <c r="N215" s="6">
        <f t="shared" si="9"/>
        <v>0</v>
      </c>
      <c r="O215" s="6">
        <f t="shared" si="10"/>
        <v>0</v>
      </c>
      <c r="P215" s="6">
        <f t="shared" si="11"/>
        <v>0</v>
      </c>
      <c r="Q215" s="6">
        <f t="shared" si="12"/>
        <v>0</v>
      </c>
      <c r="R215" s="6">
        <f t="shared" si="22"/>
        <v>1.6952888501032697</v>
      </c>
      <c r="S215" s="6">
        <f t="shared" si="13"/>
        <v>0</v>
      </c>
      <c r="T215" s="6">
        <f t="shared" si="14"/>
        <v>0</v>
      </c>
      <c r="U215" s="6">
        <f t="shared" si="15"/>
        <v>1.6952888501032697</v>
      </c>
      <c r="V215" s="6">
        <f t="shared" si="16"/>
        <v>3.0515199301858855</v>
      </c>
      <c r="W215" s="6">
        <f t="shared" si="17"/>
        <v>2.3734043901445774</v>
      </c>
      <c r="X215" s="6">
        <f t="shared" si="18"/>
        <v>0</v>
      </c>
      <c r="Y215" s="6">
        <f t="shared" si="19"/>
        <v>0</v>
      </c>
      <c r="Z215" s="6">
        <f t="shared" si="20"/>
        <v>0</v>
      </c>
      <c r="AA215" s="6">
        <f t="shared" si="21"/>
        <v>3.0515199301858855</v>
      </c>
    </row>
  </sheetData>
  <mergeCells count="3">
    <mergeCell ref="B1:F1"/>
    <mergeCell ref="M193:M194"/>
    <mergeCell ref="M167:M168"/>
  </mergeCells>
  <pageMargins left="0.7" right="0.7" top="0.75" bottom="0.75" header="0.3" footer="0.3"/>
  <pageSetup orientation="portrait" horizont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7239-E660-458C-9A96-55E5F8391858}">
  <sheetPr codeName="Sheet6">
    <tabColor theme="7" tint="0.79998168889431442"/>
  </sheetPr>
  <dimension ref="A1:V284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85546875" defaultRowHeight="18.75" customHeight="1" x14ac:dyDescent="0.25"/>
  <cols>
    <col min="1" max="1" width="6.7109375" style="63" customWidth="1"/>
    <col min="2" max="7" width="12.85546875" style="1" customWidth="1"/>
    <col min="8" max="8" width="12.85546875" style="2" customWidth="1"/>
    <col min="9" max="9" width="12.85546875" style="3" customWidth="1"/>
    <col min="10" max="10" width="11.42578125" style="116" customWidth="1"/>
    <col min="11" max="11" width="11.42578125" style="4" customWidth="1"/>
    <col min="12" max="14" width="11.42578125" style="1" customWidth="1"/>
    <col min="15" max="15" width="6.140625" style="1" customWidth="1"/>
    <col min="16" max="16" width="8.5703125" style="1" customWidth="1"/>
    <col min="17" max="17" width="23.5703125" style="1" customWidth="1"/>
    <col min="18" max="18" width="14.42578125" style="1" customWidth="1"/>
    <col min="19" max="19" width="14.28515625" style="1" bestFit="1" customWidth="1"/>
    <col min="20" max="20" width="24.7109375" style="1" bestFit="1" customWidth="1"/>
    <col min="21" max="21" width="10.5703125" style="1" customWidth="1"/>
    <col min="22" max="22" width="10.42578125" style="1" customWidth="1"/>
    <col min="23" max="16384" width="8.85546875" style="1"/>
  </cols>
  <sheetData>
    <row r="1" spans="1:11" ht="18.75" customHeight="1" x14ac:dyDescent="0.25">
      <c r="A1" s="214" t="s">
        <v>870</v>
      </c>
      <c r="B1" s="596" t="s">
        <v>871</v>
      </c>
      <c r="C1" s="596"/>
      <c r="D1" s="596"/>
      <c r="E1" s="596"/>
      <c r="F1" s="596"/>
      <c r="G1" s="214" t="s">
        <v>872</v>
      </c>
      <c r="H1" s="214" t="s">
        <v>873</v>
      </c>
      <c r="I1" s="215" t="s">
        <v>874</v>
      </c>
    </row>
    <row r="2" spans="1:11" ht="18.75" customHeight="1" x14ac:dyDescent="0.25">
      <c r="A2" s="239" t="s">
        <v>1309</v>
      </c>
      <c r="B2" s="328" t="s">
        <v>596</v>
      </c>
      <c r="C2" s="42"/>
      <c r="D2" s="42"/>
      <c r="E2" s="42"/>
      <c r="F2" s="42"/>
      <c r="G2" s="42"/>
      <c r="H2" s="30"/>
      <c r="I2" s="243"/>
    </row>
    <row r="3" spans="1:11" ht="18.75" customHeight="1" x14ac:dyDescent="0.25">
      <c r="A3" s="239"/>
      <c r="B3" s="42"/>
      <c r="C3" s="42"/>
      <c r="D3" s="42"/>
      <c r="E3" s="609" t="s">
        <v>44</v>
      </c>
      <c r="F3" s="209" t="s">
        <v>45</v>
      </c>
      <c r="G3" s="609" t="s">
        <v>44</v>
      </c>
      <c r="H3" s="209" t="s">
        <v>47</v>
      </c>
      <c r="I3" s="329"/>
      <c r="J3" s="1"/>
      <c r="K3" s="1"/>
    </row>
    <row r="4" spans="1:11" ht="18.75" customHeight="1" x14ac:dyDescent="0.25">
      <c r="A4" s="239"/>
      <c r="B4" s="42"/>
      <c r="C4" s="42"/>
      <c r="D4" s="42"/>
      <c r="E4" s="610"/>
      <c r="F4" s="210" t="s">
        <v>46</v>
      </c>
      <c r="G4" s="610"/>
      <c r="H4" s="210" t="s">
        <v>46</v>
      </c>
      <c r="I4" s="329"/>
      <c r="J4" s="1"/>
      <c r="K4" s="1"/>
    </row>
    <row r="5" spans="1:11" ht="18.75" customHeight="1" x14ac:dyDescent="0.25">
      <c r="A5" s="239"/>
      <c r="B5" s="42"/>
      <c r="C5" s="42"/>
      <c r="D5" s="42"/>
      <c r="E5" s="13" t="s">
        <v>48</v>
      </c>
      <c r="F5" s="15">
        <f>IF('Input (1)'!L71&lt;160,350,IF('Input (1)'!L71=160,550,640))/1000</f>
        <v>0.64</v>
      </c>
      <c r="G5" s="13" t="s">
        <v>54</v>
      </c>
      <c r="H5" s="15">
        <f>IF('Input (1)'!L71&lt;170,0,70)/1000</f>
        <v>7.0000000000000007E-2</v>
      </c>
      <c r="I5" s="329"/>
      <c r="J5" s="1"/>
      <c r="K5" s="1"/>
    </row>
    <row r="6" spans="1:11" ht="18.75" customHeight="1" x14ac:dyDescent="0.25">
      <c r="A6" s="239"/>
      <c r="B6" s="42"/>
      <c r="C6" s="42"/>
      <c r="D6" s="42"/>
      <c r="E6" s="13" t="s">
        <v>49</v>
      </c>
      <c r="F6" s="15">
        <f>IF('Input (1)'!L71&lt;160,350,IF('Input (1)'!L71=160,550,800))/1000</f>
        <v>0.8</v>
      </c>
      <c r="G6" s="13" t="s">
        <v>55</v>
      </c>
      <c r="H6" s="15">
        <f>IF('Input (1)'!L71&lt;170,75,IF('Input (1)'!L71=160,125,130))/1000</f>
        <v>0.13</v>
      </c>
      <c r="I6" s="329"/>
      <c r="J6" s="1"/>
      <c r="K6" s="1"/>
    </row>
    <row r="7" spans="1:11" ht="18.75" customHeight="1" x14ac:dyDescent="0.25">
      <c r="A7" s="239"/>
      <c r="B7" s="42"/>
      <c r="C7" s="42"/>
      <c r="D7" s="42"/>
      <c r="E7" s="13" t="s">
        <v>50</v>
      </c>
      <c r="F7" s="15">
        <f>(F6-F8)/2</f>
        <v>0.30000000000000004</v>
      </c>
      <c r="G7" s="13" t="s">
        <v>56</v>
      </c>
      <c r="H7" s="15">
        <f>IF('Input (1)'!L71&lt;170,75,120)/1000</f>
        <v>0.12</v>
      </c>
      <c r="I7" s="329"/>
      <c r="J7" s="1"/>
      <c r="K7" s="1"/>
    </row>
    <row r="8" spans="1:11" ht="18.75" customHeight="1" x14ac:dyDescent="0.25">
      <c r="A8" s="239"/>
      <c r="B8" s="42"/>
      <c r="C8" s="42"/>
      <c r="D8" s="42"/>
      <c r="E8" s="13" t="s">
        <v>51</v>
      </c>
      <c r="F8" s="15">
        <f>IF('Input (1)'!L71&lt;170,170,IF('Input (1)'!L71=160,180,200))/1000</f>
        <v>0.2</v>
      </c>
      <c r="G8" s="13" t="s">
        <v>57</v>
      </c>
      <c r="H8" s="15">
        <f>'Input (1)'!L71/100-('Process (2)'!H5+'Process (2)'!H6+'Process (2)'!H10)</f>
        <v>1.6500000000000001</v>
      </c>
      <c r="I8" s="329"/>
      <c r="J8" s="1"/>
      <c r="K8" s="1"/>
    </row>
    <row r="9" spans="1:11" ht="18.75" customHeight="1" x14ac:dyDescent="0.25">
      <c r="A9" s="239"/>
      <c r="B9" s="42"/>
      <c r="C9" s="42"/>
      <c r="D9" s="42"/>
      <c r="E9" s="13" t="s">
        <v>52</v>
      </c>
      <c r="F9" s="15">
        <f>(F10-F8)/2</f>
        <v>0.24999999999999997</v>
      </c>
      <c r="G9" s="13" t="s">
        <v>58</v>
      </c>
      <c r="H9" s="15">
        <f>IF('Input (1)'!L71&lt;170,100,250)/1000</f>
        <v>0.25</v>
      </c>
      <c r="I9" s="329"/>
      <c r="J9" s="1"/>
      <c r="K9" s="1"/>
    </row>
    <row r="10" spans="1:11" ht="18.75" customHeight="1" x14ac:dyDescent="0.25">
      <c r="A10" s="239"/>
      <c r="B10" s="42"/>
      <c r="C10" s="42"/>
      <c r="D10" s="42"/>
      <c r="E10" s="13" t="s">
        <v>53</v>
      </c>
      <c r="F10" s="15">
        <f>IF('Input (1)'!L71&lt;170,650,700)/1000</f>
        <v>0.7</v>
      </c>
      <c r="G10" s="13" t="s">
        <v>59</v>
      </c>
      <c r="H10" s="15">
        <f>IF('Input (1)'!L71&lt;170,125,IF('Input (1)'!L71=160,225,250))/1000</f>
        <v>0.25</v>
      </c>
      <c r="I10" s="329"/>
      <c r="J10" s="1"/>
      <c r="K10" s="1"/>
    </row>
    <row r="11" spans="1:11" ht="18.75" customHeight="1" x14ac:dyDescent="0.25">
      <c r="A11" s="239"/>
      <c r="B11" s="42"/>
      <c r="C11" s="42"/>
      <c r="D11" s="42"/>
      <c r="E11" s="42"/>
      <c r="F11" s="42"/>
      <c r="G11" s="152" t="s">
        <v>60</v>
      </c>
      <c r="H11" s="140">
        <f>H5+H6+H8+H10</f>
        <v>2.1</v>
      </c>
      <c r="I11" s="329"/>
      <c r="J11" s="1"/>
      <c r="K11" s="1"/>
    </row>
    <row r="12" spans="1:11" ht="18.75" customHeight="1" x14ac:dyDescent="0.25">
      <c r="A12" s="239"/>
      <c r="B12" s="42"/>
      <c r="C12" s="42"/>
      <c r="D12" s="42"/>
      <c r="E12" s="42"/>
      <c r="F12" s="42"/>
      <c r="G12" s="30"/>
      <c r="H12" s="31"/>
      <c r="I12" s="329"/>
      <c r="J12" s="1"/>
      <c r="K12" s="1"/>
    </row>
    <row r="13" spans="1:11" ht="18.75" customHeight="1" x14ac:dyDescent="0.25">
      <c r="A13" s="239"/>
      <c r="B13" s="42"/>
      <c r="C13" s="42"/>
      <c r="D13" s="42"/>
      <c r="E13" s="42"/>
      <c r="F13" s="42"/>
      <c r="G13" s="30"/>
      <c r="H13" s="31"/>
      <c r="I13" s="329"/>
      <c r="J13" s="4"/>
      <c r="K13" s="1"/>
    </row>
    <row r="14" spans="1:11" ht="18.75" customHeight="1" x14ac:dyDescent="0.25">
      <c r="A14" s="239"/>
      <c r="B14" s="42"/>
      <c r="C14" s="42"/>
      <c r="D14" s="42"/>
      <c r="E14" s="42"/>
      <c r="F14" s="42"/>
      <c r="G14" s="30"/>
      <c r="H14" s="31"/>
      <c r="I14" s="329"/>
      <c r="J14" s="4"/>
      <c r="K14" s="1"/>
    </row>
    <row r="15" spans="1:11" ht="18.75" customHeight="1" x14ac:dyDescent="0.25">
      <c r="A15" s="239"/>
      <c r="B15" s="42"/>
      <c r="C15" s="42"/>
      <c r="D15" s="42"/>
      <c r="E15" s="42"/>
      <c r="F15" s="42"/>
      <c r="G15" s="42"/>
      <c r="H15" s="30"/>
      <c r="I15" s="243"/>
    </row>
    <row r="16" spans="1:11" ht="18.75" customHeight="1" x14ac:dyDescent="0.25">
      <c r="A16" s="239" t="s">
        <v>1310</v>
      </c>
      <c r="B16" s="328" t="s">
        <v>597</v>
      </c>
      <c r="C16" s="42"/>
      <c r="D16" s="42"/>
      <c r="E16" s="42"/>
      <c r="F16" s="42"/>
      <c r="G16" s="42"/>
      <c r="H16" s="30"/>
      <c r="I16" s="243"/>
    </row>
    <row r="17" spans="1:11" ht="18.75" customHeight="1" x14ac:dyDescent="0.25">
      <c r="A17" s="239"/>
      <c r="B17" s="42"/>
      <c r="C17" s="42"/>
      <c r="D17" s="42"/>
      <c r="E17" s="42"/>
      <c r="F17" s="42"/>
      <c r="G17" s="42"/>
      <c r="H17" s="30"/>
      <c r="I17" s="243"/>
    </row>
    <row r="18" spans="1:11" ht="18.75" customHeight="1" x14ac:dyDescent="0.25">
      <c r="A18" s="239"/>
      <c r="B18" s="42"/>
      <c r="C18" s="42"/>
      <c r="D18" s="42"/>
      <c r="E18" s="42"/>
      <c r="F18" s="42"/>
      <c r="G18" s="42"/>
      <c r="H18" s="30"/>
      <c r="I18" s="243"/>
    </row>
    <row r="19" spans="1:11" ht="18.75" customHeight="1" x14ac:dyDescent="0.25">
      <c r="A19" s="239"/>
      <c r="B19" s="42"/>
      <c r="C19" s="42"/>
      <c r="D19" s="42"/>
      <c r="E19" s="42"/>
      <c r="F19" s="42"/>
      <c r="G19" s="42"/>
      <c r="H19" s="30"/>
      <c r="I19" s="243"/>
    </row>
    <row r="20" spans="1:11" ht="18.75" customHeight="1" x14ac:dyDescent="0.25">
      <c r="A20" s="239"/>
      <c r="B20" s="42"/>
      <c r="C20" s="42"/>
      <c r="D20" s="42"/>
      <c r="E20" s="42"/>
      <c r="F20" s="42"/>
      <c r="G20" s="42"/>
      <c r="H20" s="30"/>
      <c r="I20" s="243"/>
    </row>
    <row r="21" spans="1:11" ht="18.75" customHeight="1" x14ac:dyDescent="0.25">
      <c r="A21" s="239"/>
      <c r="B21" s="42"/>
      <c r="C21" s="42"/>
      <c r="D21" s="42"/>
      <c r="E21" s="42"/>
      <c r="F21" s="42"/>
      <c r="G21" s="42"/>
      <c r="H21" s="30"/>
      <c r="I21" s="243"/>
    </row>
    <row r="22" spans="1:11" ht="18.75" customHeight="1" x14ac:dyDescent="0.25">
      <c r="A22" s="239"/>
      <c r="B22" s="42"/>
      <c r="C22" s="42"/>
      <c r="D22" s="42"/>
      <c r="E22" s="42"/>
      <c r="F22" s="42"/>
      <c r="G22" s="42"/>
      <c r="H22" s="30"/>
      <c r="I22" s="243"/>
    </row>
    <row r="23" spans="1:11" ht="18.75" customHeight="1" x14ac:dyDescent="0.25">
      <c r="A23" s="239"/>
      <c r="B23" s="42"/>
      <c r="C23" s="42"/>
      <c r="D23" s="42"/>
      <c r="E23" s="42"/>
      <c r="F23" s="42"/>
      <c r="G23" s="42"/>
      <c r="H23" s="30"/>
      <c r="I23" s="243"/>
    </row>
    <row r="24" spans="1:11" ht="18.75" customHeight="1" x14ac:dyDescent="0.25">
      <c r="A24" s="239"/>
      <c r="B24" s="42"/>
      <c r="C24" s="42"/>
      <c r="D24" s="42"/>
      <c r="E24" s="42"/>
      <c r="F24" s="42"/>
      <c r="G24" s="42"/>
      <c r="H24" s="30"/>
      <c r="I24" s="243"/>
    </row>
    <row r="25" spans="1:11" ht="18.75" customHeight="1" x14ac:dyDescent="0.25">
      <c r="A25" s="239"/>
      <c r="B25" s="42"/>
      <c r="C25" s="42"/>
      <c r="D25" s="42"/>
      <c r="E25" s="42"/>
      <c r="F25" s="42"/>
      <c r="G25" s="42"/>
      <c r="H25" s="30"/>
      <c r="I25" s="243"/>
    </row>
    <row r="26" spans="1:11" ht="18.75" customHeight="1" x14ac:dyDescent="0.25">
      <c r="A26" s="239"/>
      <c r="B26" s="42"/>
      <c r="C26" s="42"/>
      <c r="D26" s="42"/>
      <c r="E26" s="42"/>
      <c r="F26" s="42"/>
      <c r="G26" s="42"/>
      <c r="H26" s="30"/>
      <c r="I26" s="243"/>
    </row>
    <row r="27" spans="1:11" ht="18.75" customHeight="1" x14ac:dyDescent="0.25">
      <c r="A27" s="239"/>
      <c r="B27" s="42"/>
      <c r="C27" s="42"/>
      <c r="D27" s="42"/>
      <c r="E27" s="42"/>
      <c r="F27" s="42"/>
      <c r="G27" s="42"/>
      <c r="H27" s="30"/>
      <c r="I27" s="243"/>
    </row>
    <row r="28" spans="1:11" ht="18.75" customHeight="1" x14ac:dyDescent="0.25">
      <c r="A28" s="239"/>
      <c r="B28" s="42"/>
      <c r="C28" s="42"/>
      <c r="D28" s="42"/>
      <c r="E28" s="42"/>
      <c r="F28" s="42"/>
      <c r="G28" s="42"/>
      <c r="H28" s="30"/>
      <c r="I28" s="243"/>
    </row>
    <row r="29" spans="1:11" ht="18.75" customHeight="1" x14ac:dyDescent="0.25">
      <c r="A29" s="239"/>
      <c r="B29" s="42" t="s">
        <v>75</v>
      </c>
      <c r="C29" s="42"/>
      <c r="D29" s="42"/>
      <c r="E29" s="42"/>
      <c r="F29" s="42"/>
      <c r="G29" s="42"/>
      <c r="H29" s="30"/>
      <c r="I29" s="243"/>
    </row>
    <row r="30" spans="1:11" ht="18.75" customHeight="1" x14ac:dyDescent="0.25">
      <c r="A30" s="239"/>
      <c r="B30" s="34" t="s">
        <v>72</v>
      </c>
      <c r="C30" s="42"/>
      <c r="D30" s="42"/>
      <c r="E30" s="42"/>
      <c r="F30" s="42"/>
      <c r="G30" s="30" t="s">
        <v>1164</v>
      </c>
      <c r="H30" s="6">
        <f>'Input (1)'!H24/4</f>
        <v>10</v>
      </c>
      <c r="I30" s="244" t="s">
        <v>2</v>
      </c>
      <c r="J30" s="4"/>
      <c r="K30" s="1"/>
    </row>
    <row r="31" spans="1:11" ht="18.75" customHeight="1" x14ac:dyDescent="0.25">
      <c r="A31" s="239"/>
      <c r="B31" s="34" t="s">
        <v>74</v>
      </c>
      <c r="C31" s="42"/>
      <c r="D31" s="42"/>
      <c r="E31" s="42"/>
      <c r="F31" s="42"/>
      <c r="G31" s="30" t="s">
        <v>1165</v>
      </c>
      <c r="H31" s="6">
        <f>'Input (1)'!H18</f>
        <v>1.85</v>
      </c>
      <c r="I31" s="244" t="s">
        <v>2</v>
      </c>
      <c r="J31" s="4"/>
      <c r="K31" s="1"/>
    </row>
    <row r="32" spans="1:11" ht="18.75" customHeight="1" x14ac:dyDescent="0.25">
      <c r="A32" s="239"/>
      <c r="B32" s="34" t="s">
        <v>73</v>
      </c>
      <c r="C32" s="42"/>
      <c r="D32" s="42"/>
      <c r="E32" s="42"/>
      <c r="F32" s="42"/>
      <c r="G32" s="30" t="s">
        <v>1166</v>
      </c>
      <c r="H32" s="6">
        <f>12*'Input (1)'!H13</f>
        <v>3</v>
      </c>
      <c r="I32" s="244" t="s">
        <v>2</v>
      </c>
      <c r="J32" s="4"/>
      <c r="K32" s="1"/>
    </row>
    <row r="33" spans="1:11" ht="18.75" customHeight="1" x14ac:dyDescent="0.25">
      <c r="A33" s="239"/>
      <c r="B33" s="42" t="s">
        <v>71</v>
      </c>
      <c r="C33" s="42"/>
      <c r="D33" s="42"/>
      <c r="E33" s="42"/>
      <c r="F33" s="42"/>
      <c r="G33" s="30" t="s">
        <v>1167</v>
      </c>
      <c r="H33" s="6">
        <f>MIN(H30:H32)</f>
        <v>1.85</v>
      </c>
      <c r="I33" s="244" t="s">
        <v>2</v>
      </c>
      <c r="J33" s="4"/>
      <c r="K33" s="1"/>
    </row>
    <row r="34" spans="1:11" ht="18.75" customHeight="1" x14ac:dyDescent="0.25">
      <c r="A34" s="239"/>
      <c r="B34" s="42" t="s">
        <v>76</v>
      </c>
      <c r="C34" s="42"/>
      <c r="D34" s="42"/>
      <c r="E34" s="42"/>
      <c r="F34" s="42"/>
      <c r="G34" s="30" t="s">
        <v>81</v>
      </c>
      <c r="H34" s="6">
        <f>4700*SQRT('Input (1)'!H33)</f>
        <v>25310.274593532169</v>
      </c>
      <c r="I34" s="244" t="s">
        <v>28</v>
      </c>
      <c r="J34" s="4"/>
      <c r="K34" s="1"/>
    </row>
    <row r="35" spans="1:11" ht="18.75" customHeight="1" x14ac:dyDescent="0.25">
      <c r="A35" s="239"/>
      <c r="B35" s="42" t="s">
        <v>77</v>
      </c>
      <c r="C35" s="42"/>
      <c r="D35" s="42"/>
      <c r="E35" s="42"/>
      <c r="F35" s="42"/>
      <c r="G35" s="30" t="s">
        <v>80</v>
      </c>
      <c r="H35" s="6">
        <f>0.043*('Input (1)'!H44)^1.5*'Input (1)'!H29^0.5*1000</f>
        <v>35749.528668221647</v>
      </c>
      <c r="I35" s="244" t="s">
        <v>28</v>
      </c>
      <c r="J35" s="4"/>
      <c r="K35" s="1"/>
    </row>
    <row r="36" spans="1:11" ht="18.75" customHeight="1" x14ac:dyDescent="0.25">
      <c r="A36" s="239"/>
      <c r="B36" s="42" t="s">
        <v>78</v>
      </c>
      <c r="C36" s="42"/>
      <c r="D36" s="42"/>
      <c r="E36" s="42"/>
      <c r="F36" s="42"/>
      <c r="G36" s="30" t="s">
        <v>82</v>
      </c>
      <c r="H36" s="67">
        <f>H34/H35</f>
        <v>0.70798904311236122</v>
      </c>
      <c r="I36" s="244"/>
      <c r="J36" s="4"/>
      <c r="K36" s="1"/>
    </row>
    <row r="37" spans="1:11" ht="18.75" customHeight="1" x14ac:dyDescent="0.25">
      <c r="A37" s="239"/>
      <c r="B37" s="42" t="s">
        <v>79</v>
      </c>
      <c r="C37" s="42"/>
      <c r="D37" s="42"/>
      <c r="E37" s="42"/>
      <c r="F37" s="42"/>
      <c r="G37" s="30" t="s">
        <v>83</v>
      </c>
      <c r="H37" s="67">
        <f>H36*H31</f>
        <v>1.3097797297578684</v>
      </c>
      <c r="I37" s="244" t="s">
        <v>2</v>
      </c>
      <c r="J37" s="4"/>
      <c r="K37" s="1"/>
    </row>
    <row r="38" spans="1:11" ht="18.75" customHeight="1" x14ac:dyDescent="0.25">
      <c r="A38" s="239"/>
      <c r="B38" s="42"/>
      <c r="C38" s="42"/>
      <c r="D38" s="42"/>
      <c r="E38" s="42"/>
      <c r="F38" s="42"/>
      <c r="G38" s="42"/>
      <c r="H38" s="30"/>
      <c r="I38" s="243"/>
    </row>
    <row r="39" spans="1:11" ht="18.75" customHeight="1" x14ac:dyDescent="0.25">
      <c r="A39" s="239" t="s">
        <v>1311</v>
      </c>
      <c r="B39" s="328" t="s">
        <v>599</v>
      </c>
      <c r="C39" s="42"/>
      <c r="D39" s="42"/>
      <c r="E39" s="42"/>
      <c r="F39" s="42"/>
      <c r="G39" s="42"/>
      <c r="H39" s="30"/>
      <c r="I39" s="243"/>
    </row>
    <row r="40" spans="1:11" ht="18.75" customHeight="1" x14ac:dyDescent="0.25">
      <c r="A40" s="239"/>
      <c r="B40" s="42"/>
      <c r="C40" s="42"/>
      <c r="D40" s="42"/>
      <c r="E40" s="42"/>
      <c r="F40" s="42"/>
      <c r="G40" s="42"/>
      <c r="H40" s="30"/>
      <c r="I40" s="243"/>
    </row>
    <row r="41" spans="1:11" ht="18.75" customHeight="1" x14ac:dyDescent="0.25">
      <c r="A41" s="239"/>
      <c r="B41" s="42"/>
      <c r="C41" s="42"/>
      <c r="D41" s="42"/>
      <c r="E41" s="42"/>
      <c r="F41" s="42"/>
      <c r="G41" s="42"/>
      <c r="H41" s="30"/>
      <c r="I41" s="243"/>
    </row>
    <row r="42" spans="1:11" ht="18.75" customHeight="1" x14ac:dyDescent="0.25">
      <c r="A42" s="239"/>
      <c r="B42" s="42"/>
      <c r="C42" s="42"/>
      <c r="D42" s="42"/>
      <c r="E42" s="42"/>
      <c r="F42" s="42"/>
      <c r="G42" s="42"/>
      <c r="H42" s="30"/>
      <c r="I42" s="243"/>
    </row>
    <row r="43" spans="1:11" ht="18.75" customHeight="1" x14ac:dyDescent="0.25">
      <c r="A43" s="239"/>
      <c r="B43" s="42"/>
      <c r="C43" s="42"/>
      <c r="D43" s="42"/>
      <c r="E43" s="42"/>
      <c r="F43" s="42"/>
      <c r="G43" s="42"/>
      <c r="H43" s="30"/>
      <c r="I43" s="243"/>
    </row>
    <row r="44" spans="1:11" ht="18.75" customHeight="1" x14ac:dyDescent="0.25">
      <c r="A44" s="239"/>
      <c r="B44" s="42"/>
      <c r="C44" s="42"/>
      <c r="D44" s="42"/>
      <c r="E44" s="42"/>
      <c r="F44" s="42"/>
      <c r="G44" s="42"/>
      <c r="H44" s="30"/>
      <c r="I44" s="243"/>
    </row>
    <row r="45" spans="1:11" ht="18.75" customHeight="1" x14ac:dyDescent="0.25">
      <c r="A45" s="239"/>
      <c r="B45" s="42"/>
      <c r="C45" s="42"/>
      <c r="D45" s="42"/>
      <c r="E45" s="42"/>
      <c r="F45" s="42"/>
      <c r="G45" s="42"/>
      <c r="H45" s="30"/>
      <c r="I45" s="243"/>
    </row>
    <row r="46" spans="1:11" ht="18.75" customHeight="1" x14ac:dyDescent="0.25">
      <c r="A46" s="239"/>
      <c r="B46" s="42"/>
      <c r="C46" s="42"/>
      <c r="D46" s="42"/>
      <c r="E46" s="42"/>
      <c r="F46" s="42"/>
      <c r="G46" s="42"/>
      <c r="H46" s="30"/>
      <c r="I46" s="243"/>
    </row>
    <row r="47" spans="1:11" ht="18.75" customHeight="1" x14ac:dyDescent="0.25">
      <c r="A47" s="239"/>
      <c r="B47" s="42"/>
      <c r="C47" s="42"/>
      <c r="D47" s="42"/>
      <c r="E47" s="42"/>
      <c r="F47" s="42"/>
      <c r="G47" s="42"/>
      <c r="H47" s="30"/>
      <c r="I47" s="243"/>
    </row>
    <row r="48" spans="1:11" ht="18.75" customHeight="1" x14ac:dyDescent="0.25">
      <c r="A48" s="239"/>
      <c r="B48" s="42"/>
      <c r="C48" s="42"/>
      <c r="D48" s="42"/>
      <c r="E48" s="42"/>
      <c r="F48" s="42"/>
      <c r="G48" s="42"/>
      <c r="H48" s="30"/>
      <c r="I48" s="243"/>
    </row>
    <row r="49" spans="1:11" ht="18.75" customHeight="1" x14ac:dyDescent="0.25">
      <c r="A49" s="239"/>
      <c r="B49" s="42"/>
      <c r="C49" s="42"/>
      <c r="D49" s="42"/>
      <c r="E49" s="42"/>
      <c r="F49" s="42"/>
      <c r="G49" s="42"/>
      <c r="H49" s="30"/>
      <c r="I49" s="243"/>
    </row>
    <row r="50" spans="1:11" ht="18.75" customHeight="1" x14ac:dyDescent="0.25">
      <c r="A50" s="239"/>
      <c r="B50" s="42"/>
      <c r="C50" s="42"/>
      <c r="D50" s="42"/>
      <c r="E50" s="42"/>
      <c r="F50" s="42"/>
      <c r="G50" s="42"/>
      <c r="H50" s="30"/>
      <c r="I50" s="243"/>
    </row>
    <row r="51" spans="1:11" ht="18.75" customHeight="1" x14ac:dyDescent="0.25">
      <c r="A51" s="239"/>
      <c r="B51" s="42"/>
      <c r="C51" s="42"/>
      <c r="D51" s="42"/>
      <c r="E51" s="42"/>
      <c r="F51" s="42"/>
      <c r="G51" s="42"/>
      <c r="H51" s="30"/>
      <c r="I51" s="243"/>
    </row>
    <row r="52" spans="1:11" ht="18.75" customHeight="1" x14ac:dyDescent="0.25">
      <c r="A52" s="239"/>
      <c r="B52" s="42"/>
      <c r="C52" s="42"/>
      <c r="D52" s="42"/>
      <c r="E52" s="42"/>
      <c r="F52" s="42"/>
      <c r="G52" s="42"/>
      <c r="H52" s="30"/>
      <c r="I52" s="243"/>
    </row>
    <row r="53" spans="1:11" ht="18.75" customHeight="1" x14ac:dyDescent="0.25">
      <c r="A53" s="239"/>
      <c r="B53" s="622" t="s">
        <v>84</v>
      </c>
      <c r="C53" s="623"/>
      <c r="D53" s="624" t="s">
        <v>88</v>
      </c>
      <c r="E53" s="621" t="s">
        <v>90</v>
      </c>
      <c r="F53" s="621" t="s">
        <v>92</v>
      </c>
      <c r="G53" s="621" t="s">
        <v>94</v>
      </c>
      <c r="H53" s="621" t="s">
        <v>94</v>
      </c>
      <c r="I53" s="329"/>
      <c r="J53" s="4"/>
      <c r="K53" s="1"/>
    </row>
    <row r="54" spans="1:11" ht="18.75" customHeight="1" x14ac:dyDescent="0.25">
      <c r="A54" s="239"/>
      <c r="B54" s="344" t="s">
        <v>85</v>
      </c>
      <c r="C54" s="211" t="s">
        <v>87</v>
      </c>
      <c r="D54" s="624"/>
      <c r="E54" s="621"/>
      <c r="F54" s="621"/>
      <c r="G54" s="621"/>
      <c r="H54" s="621"/>
      <c r="I54" s="329"/>
      <c r="J54" s="4"/>
      <c r="K54" s="1"/>
    </row>
    <row r="55" spans="1:11" ht="18.75" customHeight="1" x14ac:dyDescent="0.25">
      <c r="A55" s="239"/>
      <c r="B55" s="344" t="s">
        <v>86</v>
      </c>
      <c r="C55" s="211" t="s">
        <v>60</v>
      </c>
      <c r="D55" s="211" t="s">
        <v>89</v>
      </c>
      <c r="E55" s="211" t="s">
        <v>91</v>
      </c>
      <c r="F55" s="211" t="s">
        <v>93</v>
      </c>
      <c r="G55" s="211" t="s">
        <v>97</v>
      </c>
      <c r="H55" s="211" t="s">
        <v>95</v>
      </c>
      <c r="I55" s="329"/>
      <c r="J55" s="4"/>
      <c r="K55" s="1"/>
    </row>
    <row r="56" spans="1:11" ht="18.75" customHeight="1" x14ac:dyDescent="0.25">
      <c r="A56" s="239"/>
      <c r="B56" s="344" t="s">
        <v>46</v>
      </c>
      <c r="C56" s="211" t="s">
        <v>46</v>
      </c>
      <c r="D56" s="211" t="s">
        <v>98</v>
      </c>
      <c r="E56" s="211" t="s">
        <v>46</v>
      </c>
      <c r="F56" s="211" t="s">
        <v>99</v>
      </c>
      <c r="G56" s="211" t="s">
        <v>100</v>
      </c>
      <c r="H56" s="211" t="s">
        <v>100</v>
      </c>
      <c r="I56" s="329"/>
      <c r="J56" s="4"/>
      <c r="K56" s="1"/>
    </row>
    <row r="57" spans="1:11" ht="18.75" customHeight="1" x14ac:dyDescent="0.25">
      <c r="A57" s="239"/>
      <c r="B57" s="345">
        <f>$F$5</f>
        <v>0.64</v>
      </c>
      <c r="C57" s="6">
        <f>$H$5</f>
        <v>7.0000000000000007E-2</v>
      </c>
      <c r="D57" s="20">
        <f t="shared" ref="D57:D62" si="0">B57*C57</f>
        <v>4.4800000000000006E-2</v>
      </c>
      <c r="E57" s="20">
        <f>H11-0.5*C57</f>
        <v>2.0649999999999999</v>
      </c>
      <c r="F57" s="20">
        <f>D57*E57</f>
        <v>9.2512000000000011E-2</v>
      </c>
      <c r="G57" s="20">
        <f>D57*E57^2</f>
        <v>0.19103728</v>
      </c>
      <c r="H57" s="114">
        <f>1/12*B57*C57^3</f>
        <v>1.8293333333333337E-5</v>
      </c>
      <c r="I57" s="329"/>
      <c r="J57" s="4"/>
      <c r="K57" s="92"/>
    </row>
    <row r="58" spans="1:11" ht="18.75" customHeight="1" x14ac:dyDescent="0.25">
      <c r="A58" s="239"/>
      <c r="B58" s="345">
        <f>$F$6</f>
        <v>0.8</v>
      </c>
      <c r="C58" s="6">
        <f>$H$6</f>
        <v>0.13</v>
      </c>
      <c r="D58" s="20">
        <f t="shared" si="0"/>
        <v>0.10400000000000001</v>
      </c>
      <c r="E58" s="20">
        <f>C60+C62+0.5*C58</f>
        <v>1.9650000000000001</v>
      </c>
      <c r="F58" s="20">
        <f t="shared" ref="F58:F62" si="1">D58*E58</f>
        <v>0.20436000000000001</v>
      </c>
      <c r="G58" s="20">
        <f t="shared" ref="G58:G62" si="2">D58*E58^2</f>
        <v>0.40156740000000007</v>
      </c>
      <c r="H58" s="114">
        <f>1/12*B58*C58^3</f>
        <v>1.4646666666666669E-4</v>
      </c>
      <c r="I58" s="329"/>
      <c r="J58" s="4"/>
      <c r="K58" s="92"/>
    </row>
    <row r="59" spans="1:11" ht="18.75" customHeight="1" x14ac:dyDescent="0.25">
      <c r="A59" s="239"/>
      <c r="B59" s="345">
        <f>$F$7</f>
        <v>0.30000000000000004</v>
      </c>
      <c r="C59" s="6">
        <f>$H$7</f>
        <v>0.12</v>
      </c>
      <c r="D59" s="20">
        <f t="shared" si="0"/>
        <v>3.6000000000000004E-2</v>
      </c>
      <c r="E59" s="20">
        <f>C60+C62-1/3*C59</f>
        <v>1.86</v>
      </c>
      <c r="F59" s="20">
        <f t="shared" si="1"/>
        <v>6.6960000000000006E-2</v>
      </c>
      <c r="G59" s="20">
        <f t="shared" si="2"/>
        <v>0.12454560000000003</v>
      </c>
      <c r="H59" s="114">
        <f>2*1/36*B59*C59^3</f>
        <v>2.8800000000000005E-5</v>
      </c>
      <c r="I59" s="329"/>
      <c r="J59" s="4"/>
      <c r="K59" s="92"/>
    </row>
    <row r="60" spans="1:11" ht="18.75" customHeight="1" x14ac:dyDescent="0.25">
      <c r="A60" s="239"/>
      <c r="B60" s="345">
        <f>$F$8</f>
        <v>0.2</v>
      </c>
      <c r="C60" s="6">
        <f>$H$8</f>
        <v>1.6500000000000001</v>
      </c>
      <c r="D60" s="20">
        <f t="shared" si="0"/>
        <v>0.33000000000000007</v>
      </c>
      <c r="E60" s="20">
        <f>0.5*C60+C62</f>
        <v>1.0750000000000002</v>
      </c>
      <c r="F60" s="20">
        <f t="shared" si="1"/>
        <v>0.35475000000000012</v>
      </c>
      <c r="G60" s="20">
        <f t="shared" si="2"/>
        <v>0.38135625000000017</v>
      </c>
      <c r="H60" s="114">
        <f>1/12*B60*C60^3</f>
        <v>7.4868750000000026E-2</v>
      </c>
      <c r="I60" s="329"/>
      <c r="J60" s="4"/>
      <c r="K60" s="92"/>
    </row>
    <row r="61" spans="1:11" ht="18.75" customHeight="1" x14ac:dyDescent="0.25">
      <c r="A61" s="239"/>
      <c r="B61" s="345">
        <f>$F$9</f>
        <v>0.24999999999999997</v>
      </c>
      <c r="C61" s="6">
        <f>$H$9</f>
        <v>0.25</v>
      </c>
      <c r="D61" s="20">
        <f t="shared" si="0"/>
        <v>6.2499999999999993E-2</v>
      </c>
      <c r="E61" s="20">
        <f>1/3*C61+C62</f>
        <v>0.33333333333333331</v>
      </c>
      <c r="F61" s="20">
        <f t="shared" si="1"/>
        <v>2.0833333333333329E-2</v>
      </c>
      <c r="G61" s="20">
        <f t="shared" si="2"/>
        <v>6.9444444444444432E-3</v>
      </c>
      <c r="H61" s="114">
        <f>2*1/36*B61*C61^3</f>
        <v>2.1701388888888885E-4</v>
      </c>
      <c r="I61" s="329"/>
      <c r="J61" s="4"/>
      <c r="K61" s="92"/>
    </row>
    <row r="62" spans="1:11" ht="18.75" customHeight="1" x14ac:dyDescent="0.25">
      <c r="A62" s="239"/>
      <c r="B62" s="345">
        <f>$F$10</f>
        <v>0.7</v>
      </c>
      <c r="C62" s="6">
        <f>$H$10</f>
        <v>0.25</v>
      </c>
      <c r="D62" s="20">
        <f t="shared" si="0"/>
        <v>0.17499999999999999</v>
      </c>
      <c r="E62" s="20">
        <f>0.5*C62</f>
        <v>0.125</v>
      </c>
      <c r="F62" s="20">
        <f t="shared" si="1"/>
        <v>2.1874999999999999E-2</v>
      </c>
      <c r="G62" s="20">
        <f t="shared" si="2"/>
        <v>2.7343749999999998E-3</v>
      </c>
      <c r="H62" s="114">
        <f>1/12*B62*C62^3</f>
        <v>9.1145833333333324E-4</v>
      </c>
      <c r="I62" s="329"/>
      <c r="J62" s="4"/>
      <c r="K62" s="92"/>
    </row>
    <row r="63" spans="1:11" ht="18.75" customHeight="1" x14ac:dyDescent="0.25">
      <c r="A63" s="239"/>
      <c r="B63" s="42"/>
      <c r="C63" s="22" t="s">
        <v>96</v>
      </c>
      <c r="D63" s="23">
        <f>SUM(D57:D62)</f>
        <v>0.75230000000000019</v>
      </c>
      <c r="E63" s="34"/>
      <c r="F63" s="23">
        <f t="shared" ref="F63:H63" si="3">SUM(F57:F62)</f>
        <v>0.76129033333333351</v>
      </c>
      <c r="G63" s="23">
        <f t="shared" si="3"/>
        <v>1.1081853494444447</v>
      </c>
      <c r="H63" s="23">
        <f t="shared" si="3"/>
        <v>7.6190782222222253E-2</v>
      </c>
      <c r="I63" s="329"/>
      <c r="J63" s="4"/>
      <c r="K63" s="224"/>
    </row>
    <row r="64" spans="1:11" ht="18.75" customHeight="1" x14ac:dyDescent="0.25">
      <c r="A64" s="239"/>
      <c r="B64" s="42"/>
      <c r="C64" s="42"/>
      <c r="D64" s="42"/>
      <c r="E64" s="42"/>
      <c r="F64" s="42"/>
      <c r="G64" s="42"/>
      <c r="H64" s="30"/>
      <c r="I64" s="243"/>
    </row>
    <row r="65" spans="1:11" ht="18.75" customHeight="1" x14ac:dyDescent="0.25">
      <c r="A65" s="239"/>
      <c r="B65" s="42" t="s">
        <v>101</v>
      </c>
      <c r="C65" s="42"/>
      <c r="D65" s="42"/>
      <c r="E65" s="42"/>
      <c r="F65" s="42"/>
      <c r="G65" s="30" t="s">
        <v>107</v>
      </c>
      <c r="H65" s="67">
        <f>H11</f>
        <v>2.1</v>
      </c>
      <c r="I65" s="244" t="s">
        <v>2</v>
      </c>
      <c r="J65" s="4"/>
      <c r="K65" s="1"/>
    </row>
    <row r="66" spans="1:11" ht="18.75" customHeight="1" x14ac:dyDescent="0.25">
      <c r="A66" s="239"/>
      <c r="B66" s="42" t="s">
        <v>102</v>
      </c>
      <c r="C66" s="42"/>
      <c r="D66" s="42"/>
      <c r="E66" s="42"/>
      <c r="F66" s="42"/>
      <c r="G66" s="30" t="s">
        <v>108</v>
      </c>
      <c r="H66" s="67">
        <f>D63</f>
        <v>0.75230000000000019</v>
      </c>
      <c r="I66" s="244" t="s">
        <v>127</v>
      </c>
      <c r="J66" s="4"/>
      <c r="K66" s="1"/>
    </row>
    <row r="67" spans="1:11" ht="18.75" customHeight="1" x14ac:dyDescent="0.25">
      <c r="A67" s="239"/>
      <c r="B67" s="42" t="s">
        <v>103</v>
      </c>
      <c r="C67" s="42"/>
      <c r="D67" s="42"/>
      <c r="E67" s="42"/>
      <c r="F67" s="42"/>
      <c r="G67" s="30" t="s">
        <v>112</v>
      </c>
      <c r="H67" s="67">
        <f>F63/D63</f>
        <v>1.0119504630245026</v>
      </c>
      <c r="I67" s="244" t="s">
        <v>2</v>
      </c>
      <c r="J67" s="4"/>
      <c r="K67" s="1"/>
    </row>
    <row r="68" spans="1:11" ht="18.75" customHeight="1" x14ac:dyDescent="0.25">
      <c r="A68" s="239"/>
      <c r="B68" s="42"/>
      <c r="C68" s="42"/>
      <c r="D68" s="42"/>
      <c r="E68" s="42"/>
      <c r="F68" s="42"/>
      <c r="G68" s="30" t="s">
        <v>109</v>
      </c>
      <c r="H68" s="67">
        <f>H65-H67</f>
        <v>1.0880495369754974</v>
      </c>
      <c r="I68" s="244" t="s">
        <v>2</v>
      </c>
      <c r="J68" s="4"/>
      <c r="K68" s="1"/>
    </row>
    <row r="69" spans="1:11" ht="18.75" customHeight="1" x14ac:dyDescent="0.25">
      <c r="A69" s="239"/>
      <c r="B69" s="42" t="s">
        <v>104</v>
      </c>
      <c r="C69" s="42"/>
      <c r="D69" s="42"/>
      <c r="E69" s="42"/>
      <c r="F69" s="42"/>
      <c r="G69" s="30" t="s">
        <v>130</v>
      </c>
      <c r="H69" s="67">
        <f>H63+D62*(E62-$H$67)^2+D61*(E61-$H$67)^2+D60*(E60-$H$67)^2+D59*(E59-$H$67)^2+D58*(E58-$H$67)^2+D57*(E57-$H$67)^2</f>
        <v>0.41398802635392218</v>
      </c>
      <c r="I69" s="244" t="s">
        <v>128</v>
      </c>
      <c r="J69" s="4"/>
      <c r="K69" s="1"/>
    </row>
    <row r="70" spans="1:11" ht="18.75" customHeight="1" x14ac:dyDescent="0.25">
      <c r="A70" s="239"/>
      <c r="B70" s="42" t="s">
        <v>105</v>
      </c>
      <c r="C70" s="42"/>
      <c r="D70" s="42"/>
      <c r="E70" s="42"/>
      <c r="F70" s="42"/>
      <c r="G70" s="30" t="s">
        <v>110</v>
      </c>
      <c r="H70" s="67">
        <f>H69/H68</f>
        <v>0.38048637703086957</v>
      </c>
      <c r="I70" s="244" t="s">
        <v>129</v>
      </c>
      <c r="J70" s="4"/>
      <c r="K70" s="1"/>
    </row>
    <row r="71" spans="1:11" ht="18.75" customHeight="1" x14ac:dyDescent="0.25">
      <c r="A71" s="239"/>
      <c r="B71" s="42" t="s">
        <v>106</v>
      </c>
      <c r="C71" s="42"/>
      <c r="D71" s="42"/>
      <c r="E71" s="42"/>
      <c r="F71" s="42"/>
      <c r="G71" s="30" t="s">
        <v>111</v>
      </c>
      <c r="H71" s="67">
        <f>H69/H67</f>
        <v>0.40909910265429483</v>
      </c>
      <c r="I71" s="244" t="s">
        <v>129</v>
      </c>
      <c r="J71" s="4"/>
      <c r="K71" s="160"/>
    </row>
    <row r="72" spans="1:11" ht="18.75" customHeight="1" x14ac:dyDescent="0.25">
      <c r="A72" s="239"/>
      <c r="B72" s="42"/>
      <c r="C72" s="42"/>
      <c r="D72" s="42"/>
      <c r="E72" s="42"/>
      <c r="F72" s="42"/>
      <c r="G72" s="42"/>
      <c r="H72" s="30"/>
      <c r="I72" s="243"/>
    </row>
    <row r="73" spans="1:11" ht="18.75" customHeight="1" x14ac:dyDescent="0.25">
      <c r="A73" s="239" t="s">
        <v>1312</v>
      </c>
      <c r="B73" s="328" t="s">
        <v>600</v>
      </c>
      <c r="C73" s="42"/>
      <c r="D73" s="42"/>
      <c r="E73" s="42"/>
      <c r="F73" s="42"/>
      <c r="G73" s="42"/>
      <c r="H73" s="30"/>
      <c r="I73" s="243"/>
    </row>
    <row r="74" spans="1:11" ht="18.75" customHeight="1" x14ac:dyDescent="0.25">
      <c r="A74" s="239"/>
      <c r="B74" s="42"/>
      <c r="C74" s="42"/>
      <c r="D74" s="42"/>
      <c r="E74" s="42"/>
      <c r="F74" s="42"/>
      <c r="G74" s="42"/>
      <c r="H74" s="30"/>
      <c r="I74" s="243"/>
    </row>
    <row r="75" spans="1:11" ht="18.75" customHeight="1" x14ac:dyDescent="0.25">
      <c r="A75" s="239"/>
      <c r="B75" s="42"/>
      <c r="C75" s="42"/>
      <c r="D75" s="42"/>
      <c r="E75" s="42"/>
      <c r="F75" s="42"/>
      <c r="G75" s="42"/>
      <c r="H75" s="30"/>
      <c r="I75" s="243"/>
    </row>
    <row r="76" spans="1:11" ht="18.75" customHeight="1" x14ac:dyDescent="0.25">
      <c r="A76" s="239"/>
      <c r="B76" s="42"/>
      <c r="C76" s="42"/>
      <c r="D76" s="42"/>
      <c r="E76" s="42"/>
      <c r="F76" s="42"/>
      <c r="G76" s="42"/>
      <c r="H76" s="30"/>
      <c r="I76" s="243"/>
    </row>
    <row r="77" spans="1:11" ht="18.75" customHeight="1" x14ac:dyDescent="0.25">
      <c r="A77" s="239"/>
      <c r="B77" s="42"/>
      <c r="C77" s="42"/>
      <c r="D77" s="42"/>
      <c r="E77" s="42"/>
      <c r="F77" s="42"/>
      <c r="G77" s="42"/>
      <c r="H77" s="30"/>
      <c r="I77" s="243"/>
    </row>
    <row r="78" spans="1:11" ht="18.75" customHeight="1" x14ac:dyDescent="0.25">
      <c r="A78" s="239"/>
      <c r="B78" s="42"/>
      <c r="C78" s="42"/>
      <c r="D78" s="42"/>
      <c r="E78" s="42"/>
      <c r="F78" s="42"/>
      <c r="G78" s="42"/>
      <c r="H78" s="30"/>
      <c r="I78" s="243"/>
    </row>
    <row r="79" spans="1:11" ht="18.75" customHeight="1" x14ac:dyDescent="0.25">
      <c r="A79" s="239"/>
      <c r="B79" s="42"/>
      <c r="C79" s="42"/>
      <c r="D79" s="42"/>
      <c r="E79" s="42"/>
      <c r="F79" s="42"/>
      <c r="G79" s="42"/>
      <c r="H79" s="30"/>
      <c r="I79" s="243"/>
    </row>
    <row r="80" spans="1:11" ht="18.75" customHeight="1" x14ac:dyDescent="0.25">
      <c r="A80" s="239"/>
      <c r="B80" s="42"/>
      <c r="C80" s="42"/>
      <c r="D80" s="42"/>
      <c r="E80" s="42"/>
      <c r="F80" s="42"/>
      <c r="G80" s="42"/>
      <c r="H80" s="30"/>
      <c r="I80" s="243"/>
    </row>
    <row r="81" spans="1:11" ht="18.75" customHeight="1" x14ac:dyDescent="0.25">
      <c r="A81" s="239"/>
      <c r="B81" s="42"/>
      <c r="C81" s="42"/>
      <c r="D81" s="42"/>
      <c r="E81" s="42"/>
      <c r="F81" s="42"/>
      <c r="G81" s="42"/>
      <c r="H81" s="30"/>
      <c r="I81" s="243"/>
    </row>
    <row r="82" spans="1:11" ht="18.75" customHeight="1" x14ac:dyDescent="0.25">
      <c r="A82" s="239"/>
      <c r="B82" s="42"/>
      <c r="C82" s="42"/>
      <c r="D82" s="42"/>
      <c r="E82" s="42"/>
      <c r="F82" s="42"/>
      <c r="G82" s="42"/>
      <c r="H82" s="30"/>
      <c r="I82" s="243"/>
    </row>
    <row r="83" spans="1:11" ht="18.75" customHeight="1" x14ac:dyDescent="0.25">
      <c r="A83" s="239"/>
      <c r="B83" s="42"/>
      <c r="C83" s="42"/>
      <c r="D83" s="42"/>
      <c r="E83" s="42"/>
      <c r="F83" s="42"/>
      <c r="G83" s="42"/>
      <c r="H83" s="30"/>
      <c r="I83" s="243"/>
    </row>
    <row r="84" spans="1:11" ht="18.75" customHeight="1" x14ac:dyDescent="0.25">
      <c r="A84" s="239"/>
      <c r="B84" s="42"/>
      <c r="C84" s="42"/>
      <c r="D84" s="42"/>
      <c r="E84" s="42"/>
      <c r="F84" s="42"/>
      <c r="G84" s="42"/>
      <c r="H84" s="30"/>
      <c r="I84" s="243"/>
    </row>
    <row r="85" spans="1:11" ht="18.75" customHeight="1" x14ac:dyDescent="0.25">
      <c r="A85" s="239"/>
      <c r="B85" s="42"/>
      <c r="C85" s="42"/>
      <c r="D85" s="42"/>
      <c r="E85" s="42"/>
      <c r="F85" s="42"/>
      <c r="G85" s="42"/>
      <c r="H85" s="30"/>
      <c r="I85" s="243"/>
    </row>
    <row r="86" spans="1:11" ht="18.75" customHeight="1" x14ac:dyDescent="0.25">
      <c r="A86" s="239"/>
      <c r="B86" s="42"/>
      <c r="C86" s="42"/>
      <c r="D86" s="42"/>
      <c r="E86" s="42"/>
      <c r="F86" s="42"/>
      <c r="G86" s="42"/>
      <c r="H86" s="30"/>
      <c r="I86" s="243"/>
    </row>
    <row r="87" spans="1:11" ht="18.75" customHeight="1" x14ac:dyDescent="0.25">
      <c r="A87" s="239"/>
      <c r="B87" s="622" t="s">
        <v>84</v>
      </c>
      <c r="C87" s="623"/>
      <c r="D87" s="624" t="s">
        <v>88</v>
      </c>
      <c r="E87" s="621" t="s">
        <v>90</v>
      </c>
      <c r="F87" s="621" t="s">
        <v>92</v>
      </c>
      <c r="G87" s="621" t="s">
        <v>94</v>
      </c>
      <c r="H87" s="621" t="s">
        <v>94</v>
      </c>
      <c r="I87" s="329"/>
      <c r="J87" s="4"/>
      <c r="K87" s="1"/>
    </row>
    <row r="88" spans="1:11" ht="18.75" customHeight="1" x14ac:dyDescent="0.25">
      <c r="A88" s="239"/>
      <c r="B88" s="344" t="s">
        <v>85</v>
      </c>
      <c r="C88" s="211" t="s">
        <v>87</v>
      </c>
      <c r="D88" s="624"/>
      <c r="E88" s="621"/>
      <c r="F88" s="621"/>
      <c r="G88" s="621"/>
      <c r="H88" s="621"/>
      <c r="I88" s="329"/>
      <c r="J88" s="4"/>
      <c r="K88" s="1"/>
    </row>
    <row r="89" spans="1:11" ht="18.75" customHeight="1" x14ac:dyDescent="0.25">
      <c r="A89" s="239"/>
      <c r="B89" s="344" t="s">
        <v>86</v>
      </c>
      <c r="C89" s="211" t="s">
        <v>60</v>
      </c>
      <c r="D89" s="211" t="s">
        <v>89</v>
      </c>
      <c r="E89" s="211" t="s">
        <v>91</v>
      </c>
      <c r="F89" s="211" t="s">
        <v>93</v>
      </c>
      <c r="G89" s="211" t="s">
        <v>97</v>
      </c>
      <c r="H89" s="211" t="s">
        <v>123</v>
      </c>
      <c r="I89" s="329"/>
      <c r="J89" s="4"/>
      <c r="K89" s="1"/>
    </row>
    <row r="90" spans="1:11" ht="18.75" customHeight="1" x14ac:dyDescent="0.25">
      <c r="A90" s="239"/>
      <c r="B90" s="344" t="s">
        <v>46</v>
      </c>
      <c r="C90" s="211" t="s">
        <v>46</v>
      </c>
      <c r="D90" s="211" t="s">
        <v>98</v>
      </c>
      <c r="E90" s="211" t="s">
        <v>46</v>
      </c>
      <c r="F90" s="211" t="s">
        <v>99</v>
      </c>
      <c r="G90" s="211" t="s">
        <v>100</v>
      </c>
      <c r="H90" s="211" t="s">
        <v>100</v>
      </c>
      <c r="I90" s="329"/>
      <c r="J90" s="4"/>
      <c r="K90" s="1"/>
    </row>
    <row r="91" spans="1:11" ht="18.75" customHeight="1" x14ac:dyDescent="0.25">
      <c r="A91" s="239"/>
      <c r="B91" s="346">
        <f>H37</f>
        <v>1.3097797297578684</v>
      </c>
      <c r="C91" s="26">
        <f>'Input (1)'!H13</f>
        <v>0.25</v>
      </c>
      <c r="D91" s="20">
        <f t="shared" ref="D91:D97" si="4">B91*C91</f>
        <v>0.3274449324394671</v>
      </c>
      <c r="E91" s="20">
        <f>H65+0.5*C91</f>
        <v>2.2250000000000001</v>
      </c>
      <c r="F91" s="20">
        <f>D91*E91</f>
        <v>0.72856497467781434</v>
      </c>
      <c r="G91" s="20">
        <f>D91*E91^2</f>
        <v>1.6210570686581369</v>
      </c>
      <c r="H91" s="21">
        <f>1/12*B91*C91^3</f>
        <v>1.7054423564555577E-3</v>
      </c>
      <c r="I91" s="329"/>
      <c r="J91" s="4"/>
      <c r="K91" s="92"/>
    </row>
    <row r="92" spans="1:11" ht="18.75" customHeight="1" x14ac:dyDescent="0.25">
      <c r="A92" s="239"/>
      <c r="B92" s="345">
        <f>$F$5</f>
        <v>0.64</v>
      </c>
      <c r="C92" s="6">
        <f>$H$5</f>
        <v>7.0000000000000007E-2</v>
      </c>
      <c r="D92" s="20">
        <f t="shared" si="4"/>
        <v>4.4800000000000006E-2</v>
      </c>
      <c r="E92" s="20">
        <f t="shared" ref="E92:E97" si="5">E57</f>
        <v>2.0649999999999999</v>
      </c>
      <c r="F92" s="20">
        <f>D92*E92</f>
        <v>9.2512000000000011E-2</v>
      </c>
      <c r="G92" s="20">
        <f>D92*E92^2</f>
        <v>0.19103728</v>
      </c>
      <c r="H92" s="21">
        <f>1/12*B92*C92^3</f>
        <v>1.8293333333333337E-5</v>
      </c>
      <c r="I92" s="329"/>
      <c r="J92" s="4"/>
      <c r="K92" s="92"/>
    </row>
    <row r="93" spans="1:11" ht="18.75" customHeight="1" x14ac:dyDescent="0.25">
      <c r="A93" s="239"/>
      <c r="B93" s="345">
        <f>$F$6</f>
        <v>0.8</v>
      </c>
      <c r="C93" s="6">
        <f>$H$6</f>
        <v>0.13</v>
      </c>
      <c r="D93" s="20">
        <f t="shared" si="4"/>
        <v>0.10400000000000001</v>
      </c>
      <c r="E93" s="20">
        <f t="shared" si="5"/>
        <v>1.9650000000000001</v>
      </c>
      <c r="F93" s="20">
        <f t="shared" ref="F93:F97" si="6">D93*E93</f>
        <v>0.20436000000000001</v>
      </c>
      <c r="G93" s="20">
        <f t="shared" ref="G93:G97" si="7">D93*E93^2</f>
        <v>0.40156740000000007</v>
      </c>
      <c r="H93" s="21">
        <f>1/12*B93*C93^3</f>
        <v>1.4646666666666669E-4</v>
      </c>
      <c r="I93" s="329"/>
      <c r="J93" s="4"/>
      <c r="K93" s="92"/>
    </row>
    <row r="94" spans="1:11" ht="18.75" customHeight="1" x14ac:dyDescent="0.25">
      <c r="A94" s="239"/>
      <c r="B94" s="345">
        <f>$F$7</f>
        <v>0.30000000000000004</v>
      </c>
      <c r="C94" s="6">
        <f>$H$7</f>
        <v>0.12</v>
      </c>
      <c r="D94" s="20">
        <f t="shared" si="4"/>
        <v>3.6000000000000004E-2</v>
      </c>
      <c r="E94" s="20">
        <f t="shared" si="5"/>
        <v>1.86</v>
      </c>
      <c r="F94" s="20">
        <f t="shared" si="6"/>
        <v>6.6960000000000006E-2</v>
      </c>
      <c r="G94" s="20">
        <f t="shared" si="7"/>
        <v>0.12454560000000003</v>
      </c>
      <c r="H94" s="21">
        <f>2*1/36*B94*C94^3</f>
        <v>2.8800000000000005E-5</v>
      </c>
      <c r="I94" s="329"/>
      <c r="J94" s="4"/>
      <c r="K94" s="92"/>
    </row>
    <row r="95" spans="1:11" ht="18.75" customHeight="1" x14ac:dyDescent="0.25">
      <c r="A95" s="239"/>
      <c r="B95" s="345">
        <f>$F$8</f>
        <v>0.2</v>
      </c>
      <c r="C95" s="6">
        <f>$H$8</f>
        <v>1.6500000000000001</v>
      </c>
      <c r="D95" s="20">
        <f t="shared" si="4"/>
        <v>0.33000000000000007</v>
      </c>
      <c r="E95" s="20">
        <f t="shared" si="5"/>
        <v>1.0750000000000002</v>
      </c>
      <c r="F95" s="20">
        <f t="shared" si="6"/>
        <v>0.35475000000000012</v>
      </c>
      <c r="G95" s="20">
        <f t="shared" si="7"/>
        <v>0.38135625000000017</v>
      </c>
      <c r="H95" s="21">
        <f>1/12*B95*C95^3</f>
        <v>7.4868750000000026E-2</v>
      </c>
      <c r="I95" s="329"/>
      <c r="J95" s="4"/>
      <c r="K95" s="92"/>
    </row>
    <row r="96" spans="1:11" ht="18.75" customHeight="1" x14ac:dyDescent="0.25">
      <c r="A96" s="239"/>
      <c r="B96" s="345">
        <f>$F$9</f>
        <v>0.24999999999999997</v>
      </c>
      <c r="C96" s="6">
        <f>$H$9</f>
        <v>0.25</v>
      </c>
      <c r="D96" s="20">
        <f t="shared" si="4"/>
        <v>6.2499999999999993E-2</v>
      </c>
      <c r="E96" s="20">
        <f t="shared" si="5"/>
        <v>0.33333333333333331</v>
      </c>
      <c r="F96" s="20">
        <f t="shared" si="6"/>
        <v>2.0833333333333329E-2</v>
      </c>
      <c r="G96" s="20">
        <f t="shared" si="7"/>
        <v>6.9444444444444432E-3</v>
      </c>
      <c r="H96" s="21">
        <f>2*1/36*B96*C96^3</f>
        <v>2.1701388888888885E-4</v>
      </c>
      <c r="I96" s="329"/>
      <c r="J96" s="4"/>
      <c r="K96" s="92"/>
    </row>
    <row r="97" spans="1:11" ht="18.75" customHeight="1" x14ac:dyDescent="0.25">
      <c r="A97" s="239"/>
      <c r="B97" s="345">
        <f>$F$10</f>
        <v>0.7</v>
      </c>
      <c r="C97" s="6">
        <f>$H$10</f>
        <v>0.25</v>
      </c>
      <c r="D97" s="20">
        <f t="shared" si="4"/>
        <v>0.17499999999999999</v>
      </c>
      <c r="E97" s="20">
        <f t="shared" si="5"/>
        <v>0.125</v>
      </c>
      <c r="F97" s="20">
        <f t="shared" si="6"/>
        <v>2.1874999999999999E-2</v>
      </c>
      <c r="G97" s="20">
        <f t="shared" si="7"/>
        <v>2.7343749999999998E-3</v>
      </c>
      <c r="H97" s="21">
        <f>1/12*B97*C97^3</f>
        <v>9.1145833333333324E-4</v>
      </c>
      <c r="I97" s="329"/>
      <c r="J97" s="4"/>
      <c r="K97" s="92"/>
    </row>
    <row r="98" spans="1:11" ht="18.75" customHeight="1" x14ac:dyDescent="0.25">
      <c r="A98" s="239"/>
      <c r="B98" s="31"/>
      <c r="C98" s="19" t="s">
        <v>96</v>
      </c>
      <c r="D98" s="23">
        <f>SUM(D91:D97)</f>
        <v>1.0797449324394672</v>
      </c>
      <c r="E98" s="31"/>
      <c r="F98" s="23">
        <f t="shared" ref="F98:G98" si="8">SUM(F91:F97)</f>
        <v>1.4898553080111478</v>
      </c>
      <c r="G98" s="23">
        <f t="shared" si="8"/>
        <v>2.7292424181025816</v>
      </c>
      <c r="H98" s="23">
        <f>SUM(H91:H97)</f>
        <v>7.7896224578677814E-2</v>
      </c>
      <c r="I98" s="329"/>
      <c r="J98" s="4"/>
      <c r="K98" s="224"/>
    </row>
    <row r="99" spans="1:11" ht="18.75" customHeight="1" x14ac:dyDescent="0.25">
      <c r="A99" s="239"/>
      <c r="B99" s="42"/>
      <c r="C99" s="42"/>
      <c r="D99" s="42"/>
      <c r="E99" s="42"/>
      <c r="F99" s="42"/>
      <c r="G99" s="42"/>
      <c r="H99" s="30"/>
      <c r="I99" s="243"/>
    </row>
    <row r="100" spans="1:11" ht="18.75" customHeight="1" x14ac:dyDescent="0.25">
      <c r="A100" s="239"/>
      <c r="B100" s="42" t="s">
        <v>113</v>
      </c>
      <c r="C100" s="42"/>
      <c r="D100" s="42"/>
      <c r="E100" s="42"/>
      <c r="F100" s="42"/>
      <c r="G100" s="30" t="s">
        <v>119</v>
      </c>
      <c r="H100" s="6">
        <f>H65+C91</f>
        <v>2.35</v>
      </c>
      <c r="I100" s="244" t="s">
        <v>2</v>
      </c>
      <c r="J100" s="4"/>
      <c r="K100" s="1"/>
    </row>
    <row r="101" spans="1:11" ht="18.75" customHeight="1" x14ac:dyDescent="0.25">
      <c r="A101" s="239"/>
      <c r="B101" s="42" t="s">
        <v>114</v>
      </c>
      <c r="C101" s="42"/>
      <c r="D101" s="42"/>
      <c r="E101" s="42"/>
      <c r="F101" s="42"/>
      <c r="G101" s="30" t="s">
        <v>120</v>
      </c>
      <c r="H101" s="67">
        <f>D98</f>
        <v>1.0797449324394672</v>
      </c>
      <c r="I101" s="244" t="s">
        <v>127</v>
      </c>
      <c r="J101" s="4"/>
      <c r="K101" s="1"/>
    </row>
    <row r="102" spans="1:11" ht="18.75" customHeight="1" x14ac:dyDescent="0.25">
      <c r="A102" s="239"/>
      <c r="B102" s="42" t="s">
        <v>103</v>
      </c>
      <c r="C102" s="42"/>
      <c r="D102" s="42"/>
      <c r="E102" s="42"/>
      <c r="F102" s="42"/>
      <c r="G102" s="30" t="s">
        <v>121</v>
      </c>
      <c r="H102" s="67">
        <f>F98/D98</f>
        <v>1.3798215330773709</v>
      </c>
      <c r="I102" s="244" t="s">
        <v>2</v>
      </c>
      <c r="J102" s="4"/>
      <c r="K102" s="1"/>
    </row>
    <row r="103" spans="1:11" ht="18.75" customHeight="1" x14ac:dyDescent="0.25">
      <c r="A103" s="239"/>
      <c r="B103" s="42"/>
      <c r="C103" s="42"/>
      <c r="D103" s="42"/>
      <c r="E103" s="42"/>
      <c r="F103" s="42"/>
      <c r="G103" s="30" t="s">
        <v>122</v>
      </c>
      <c r="H103" s="67">
        <f>H100-H102</f>
        <v>0.97017846692262921</v>
      </c>
      <c r="I103" s="244" t="s">
        <v>2</v>
      </c>
      <c r="J103" s="4"/>
      <c r="K103" s="1"/>
    </row>
    <row r="104" spans="1:11" ht="18.75" customHeight="1" x14ac:dyDescent="0.25">
      <c r="A104" s="239"/>
      <c r="B104" s="42" t="s">
        <v>566</v>
      </c>
      <c r="C104" s="42"/>
      <c r="D104" s="42"/>
      <c r="E104" s="42"/>
      <c r="F104" s="42"/>
      <c r="G104" s="30" t="s">
        <v>131</v>
      </c>
      <c r="H104" s="67">
        <f>H98+D97*(E97-$H$102)^2+D96*(E96-$H$102)^2+D95*(E95-$H$102)^2+D94*(E94-$H$102)^2+D93*(E93-$H$102)^2+D92*(E92-$H$102)^2+D91*(E91-$H$102)^2</f>
        <v>0.75140420751785886</v>
      </c>
      <c r="I104" s="244" t="s">
        <v>128</v>
      </c>
      <c r="J104" s="4"/>
      <c r="K104" s="1"/>
    </row>
    <row r="105" spans="1:11" ht="18.75" customHeight="1" x14ac:dyDescent="0.25">
      <c r="A105" s="239"/>
      <c r="B105" s="42" t="s">
        <v>116</v>
      </c>
      <c r="C105" s="42"/>
      <c r="D105" s="42"/>
      <c r="E105" s="42"/>
      <c r="F105" s="42"/>
      <c r="G105" s="30" t="s">
        <v>125</v>
      </c>
      <c r="H105" s="67">
        <f>H104/H103</f>
        <v>0.77450101515990732</v>
      </c>
      <c r="I105" s="244" t="s">
        <v>129</v>
      </c>
      <c r="J105" s="4"/>
      <c r="K105" s="1"/>
    </row>
    <row r="106" spans="1:11" ht="18.75" customHeight="1" x14ac:dyDescent="0.25">
      <c r="A106" s="239"/>
      <c r="B106" s="42" t="s">
        <v>117</v>
      </c>
      <c r="C106" s="42"/>
      <c r="D106" s="42"/>
      <c r="E106" s="42"/>
      <c r="F106" s="42"/>
      <c r="G106" s="30" t="s">
        <v>126</v>
      </c>
      <c r="H106" s="67">
        <f>H104/(H103-C91)</f>
        <v>1.0433583368976016</v>
      </c>
      <c r="I106" s="244" t="s">
        <v>129</v>
      </c>
      <c r="J106" s="4"/>
      <c r="K106" s="1"/>
    </row>
    <row r="107" spans="1:11" ht="18.75" customHeight="1" x14ac:dyDescent="0.25">
      <c r="A107" s="239"/>
      <c r="B107" s="42" t="s">
        <v>118</v>
      </c>
      <c r="C107" s="42"/>
      <c r="D107" s="42"/>
      <c r="E107" s="42"/>
      <c r="F107" s="42"/>
      <c r="G107" s="30" t="s">
        <v>124</v>
      </c>
      <c r="H107" s="67">
        <f>H104/H102</f>
        <v>0.54456622795415188</v>
      </c>
      <c r="I107" s="244" t="s">
        <v>129</v>
      </c>
      <c r="J107" s="4"/>
      <c r="K107" s="1"/>
    </row>
    <row r="108" spans="1:11" ht="18.75" customHeight="1" x14ac:dyDescent="0.25">
      <c r="A108" s="239"/>
      <c r="B108" s="42"/>
      <c r="C108" s="42"/>
      <c r="D108" s="42"/>
      <c r="E108" s="42"/>
      <c r="F108" s="42"/>
      <c r="G108" s="30"/>
      <c r="H108" s="330"/>
      <c r="I108" s="329"/>
      <c r="J108" s="4"/>
      <c r="K108" s="1"/>
    </row>
    <row r="109" spans="1:11" ht="18.75" customHeight="1" x14ac:dyDescent="0.25">
      <c r="A109" s="239"/>
      <c r="B109" s="42"/>
      <c r="C109" s="42"/>
      <c r="D109" s="42"/>
      <c r="E109" s="42"/>
      <c r="F109" s="42"/>
      <c r="G109" s="42"/>
      <c r="H109" s="30"/>
      <c r="I109" s="331"/>
    </row>
    <row r="110" spans="1:11" ht="18.75" customHeight="1" x14ac:dyDescent="0.25">
      <c r="A110" s="239" t="s">
        <v>1313</v>
      </c>
      <c r="B110" s="332" t="s">
        <v>601</v>
      </c>
      <c r="C110" s="42"/>
      <c r="D110" s="42"/>
      <c r="E110" s="42"/>
      <c r="F110" s="42"/>
      <c r="G110" s="42"/>
      <c r="H110" s="30"/>
      <c r="I110" s="243"/>
    </row>
    <row r="111" spans="1:11" ht="18.75" customHeight="1" x14ac:dyDescent="0.25">
      <c r="A111" s="239"/>
      <c r="B111" s="332"/>
      <c r="C111" s="42"/>
      <c r="D111" s="42"/>
      <c r="E111" s="42"/>
      <c r="F111" s="42"/>
      <c r="G111" s="42"/>
      <c r="H111" s="30"/>
      <c r="I111" s="243"/>
    </row>
    <row r="112" spans="1:11" ht="18.75" customHeight="1" x14ac:dyDescent="0.25">
      <c r="A112" s="239"/>
      <c r="B112" s="332"/>
      <c r="C112" s="42"/>
      <c r="D112" s="42"/>
      <c r="E112" s="42"/>
      <c r="F112" s="42"/>
      <c r="G112" s="42"/>
      <c r="H112" s="30"/>
      <c r="I112" s="243"/>
    </row>
    <row r="113" spans="1:11" s="8" customFormat="1" ht="18.75" customHeight="1" x14ac:dyDescent="0.25">
      <c r="A113" s="239"/>
      <c r="B113" s="255"/>
      <c r="C113" s="89"/>
      <c r="D113" s="89"/>
      <c r="E113" s="89"/>
      <c r="F113" s="89"/>
      <c r="G113" s="89"/>
      <c r="H113" s="253"/>
      <c r="I113" s="274"/>
      <c r="J113" s="88"/>
      <c r="K113" s="10"/>
    </row>
    <row r="114" spans="1:11" s="8" customFormat="1" ht="18.75" customHeight="1" x14ac:dyDescent="0.25">
      <c r="A114" s="239"/>
      <c r="B114" s="255"/>
      <c r="C114" s="89"/>
      <c r="D114" s="89"/>
      <c r="E114" s="89"/>
      <c r="F114" s="89"/>
      <c r="G114" s="89"/>
      <c r="H114" s="253"/>
      <c r="I114" s="274"/>
      <c r="J114" s="88"/>
      <c r="K114" s="10"/>
    </row>
    <row r="115" spans="1:11" s="8" customFormat="1" ht="18.75" customHeight="1" x14ac:dyDescent="0.25">
      <c r="A115" s="239"/>
      <c r="B115" s="255"/>
      <c r="C115" s="89"/>
      <c r="D115" s="89"/>
      <c r="E115" s="89"/>
      <c r="F115" s="89"/>
      <c r="G115" s="89"/>
      <c r="H115" s="253"/>
      <c r="I115" s="274"/>
      <c r="J115" s="88"/>
      <c r="K115" s="10"/>
    </row>
    <row r="116" spans="1:11" s="8" customFormat="1" ht="18.75" customHeight="1" x14ac:dyDescent="0.25">
      <c r="A116" s="239"/>
      <c r="B116" s="255"/>
      <c r="C116" s="89"/>
      <c r="D116" s="89"/>
      <c r="E116" s="89"/>
      <c r="F116" s="89"/>
      <c r="G116" s="89"/>
      <c r="H116" s="253"/>
      <c r="I116" s="274"/>
      <c r="J116" s="88"/>
      <c r="K116" s="10"/>
    </row>
    <row r="117" spans="1:11" s="8" customFormat="1" ht="18.75" customHeight="1" x14ac:dyDescent="0.25">
      <c r="A117" s="239"/>
      <c r="B117" s="255"/>
      <c r="C117" s="89"/>
      <c r="D117" s="89"/>
      <c r="E117" s="89"/>
      <c r="F117" s="89"/>
      <c r="G117" s="89"/>
      <c r="H117" s="253"/>
      <c r="I117" s="274"/>
      <c r="J117" s="88"/>
      <c r="K117" s="10"/>
    </row>
    <row r="118" spans="1:11" s="8" customFormat="1" ht="18.75" customHeight="1" x14ac:dyDescent="0.25">
      <c r="A118" s="239"/>
      <c r="B118" s="255"/>
      <c r="C118" s="89"/>
      <c r="D118" s="89"/>
      <c r="E118" s="89"/>
      <c r="F118" s="89"/>
      <c r="G118" s="89"/>
      <c r="H118" s="253"/>
      <c r="I118" s="274"/>
      <c r="J118" s="88"/>
      <c r="K118" s="10"/>
    </row>
    <row r="119" spans="1:11" s="8" customFormat="1" ht="18.75" customHeight="1" x14ac:dyDescent="0.25">
      <c r="A119" s="239"/>
      <c r="B119" s="255"/>
      <c r="C119" s="89"/>
      <c r="D119" s="89"/>
      <c r="E119" s="89"/>
      <c r="F119" s="89"/>
      <c r="G119" s="89"/>
      <c r="H119" s="253"/>
      <c r="I119" s="274"/>
      <c r="J119" s="88"/>
      <c r="K119" s="10"/>
    </row>
    <row r="120" spans="1:11" s="8" customFormat="1" ht="18.75" customHeight="1" x14ac:dyDescent="0.25">
      <c r="A120" s="239"/>
      <c r="B120" s="368" t="s">
        <v>982</v>
      </c>
      <c r="D120" s="89"/>
      <c r="E120" s="89"/>
      <c r="F120" s="89"/>
      <c r="G120" s="89"/>
      <c r="H120" s="253"/>
      <c r="I120" s="274"/>
      <c r="J120" s="88"/>
      <c r="K120" s="10"/>
    </row>
    <row r="121" spans="1:11" s="8" customFormat="1" ht="18.75" customHeight="1" x14ac:dyDescent="0.25">
      <c r="A121" s="239"/>
      <c r="B121" s="368"/>
      <c r="D121" s="89"/>
      <c r="E121" s="89"/>
      <c r="F121" s="89"/>
      <c r="G121" s="89"/>
      <c r="H121" s="253"/>
      <c r="I121" s="274"/>
      <c r="J121" s="88"/>
      <c r="K121" s="10"/>
    </row>
    <row r="122" spans="1:11" s="8" customFormat="1" ht="18.75" customHeight="1" x14ac:dyDescent="0.25">
      <c r="A122" s="239"/>
      <c r="B122" s="368"/>
      <c r="D122" s="89"/>
      <c r="E122" s="89"/>
      <c r="F122" s="89"/>
      <c r="G122" s="89"/>
      <c r="H122" s="253"/>
      <c r="I122" s="274"/>
      <c r="J122" s="88"/>
      <c r="K122" s="10"/>
    </row>
    <row r="123" spans="1:11" s="8" customFormat="1" ht="18.75" customHeight="1" x14ac:dyDescent="0.25">
      <c r="A123" s="239"/>
      <c r="B123" s="368"/>
      <c r="D123" s="89"/>
      <c r="E123" s="89"/>
      <c r="F123" s="89"/>
      <c r="G123" s="89"/>
      <c r="H123" s="253"/>
      <c r="I123" s="274"/>
      <c r="J123" s="88"/>
      <c r="K123" s="10"/>
    </row>
    <row r="124" spans="1:11" s="8" customFormat="1" ht="18.75" customHeight="1" x14ac:dyDescent="0.25">
      <c r="A124" s="239"/>
      <c r="B124" s="368"/>
      <c r="D124" s="89"/>
      <c r="E124" s="89"/>
      <c r="F124" s="89"/>
      <c r="G124" s="89"/>
      <c r="H124" s="253"/>
      <c r="I124" s="274"/>
      <c r="J124" s="88"/>
      <c r="K124" s="10"/>
    </row>
    <row r="125" spans="1:11" s="8" customFormat="1" ht="18.75" customHeight="1" x14ac:dyDescent="0.25">
      <c r="A125" s="239"/>
      <c r="B125" s="368"/>
      <c r="D125" s="89"/>
      <c r="E125" s="89"/>
      <c r="F125" s="89"/>
      <c r="G125" s="89"/>
      <c r="H125" s="253"/>
      <c r="I125" s="274"/>
      <c r="J125" s="88"/>
      <c r="K125" s="10"/>
    </row>
    <row r="126" spans="1:11" s="8" customFormat="1" ht="18.75" customHeight="1" x14ac:dyDescent="0.25">
      <c r="A126" s="239"/>
      <c r="B126" s="368"/>
      <c r="D126" s="89"/>
      <c r="E126" s="89"/>
      <c r="F126" s="89"/>
      <c r="G126" s="89"/>
      <c r="H126" s="253"/>
      <c r="I126" s="274"/>
      <c r="J126" s="88"/>
      <c r="K126" s="10"/>
    </row>
    <row r="127" spans="1:11" s="8" customFormat="1" ht="18.75" customHeight="1" x14ac:dyDescent="0.25">
      <c r="A127" s="239"/>
      <c r="B127" s="368"/>
      <c r="D127" s="89"/>
      <c r="E127" s="89"/>
      <c r="F127" s="89"/>
      <c r="G127" s="89"/>
      <c r="H127" s="253"/>
      <c r="I127" s="274"/>
      <c r="J127" s="88"/>
      <c r="K127" s="10"/>
    </row>
    <row r="128" spans="1:11" s="8" customFormat="1" ht="18.75" customHeight="1" x14ac:dyDescent="0.25">
      <c r="A128" s="239"/>
      <c r="B128" s="368"/>
      <c r="D128" s="89"/>
      <c r="E128" s="89"/>
      <c r="F128" s="89"/>
      <c r="G128" s="89"/>
      <c r="H128" s="253"/>
      <c r="I128" s="274"/>
      <c r="J128" s="88"/>
      <c r="K128" s="10"/>
    </row>
    <row r="129" spans="1:17" s="8" customFormat="1" ht="18.75" customHeight="1" x14ac:dyDescent="0.25">
      <c r="A129" s="239"/>
      <c r="B129" s="368"/>
      <c r="D129" s="89"/>
      <c r="E129" s="89"/>
      <c r="F129" s="89"/>
      <c r="G129" s="89"/>
      <c r="H129" s="253"/>
      <c r="I129" s="274"/>
      <c r="J129" s="88"/>
      <c r="K129" s="10"/>
    </row>
    <row r="130" spans="1:17" s="8" customFormat="1" ht="18.75" customHeight="1" x14ac:dyDescent="0.25">
      <c r="A130" s="239"/>
      <c r="B130" s="368"/>
      <c r="D130" s="89"/>
      <c r="E130" s="89"/>
      <c r="F130" s="89"/>
      <c r="G130" s="89"/>
      <c r="H130" s="253"/>
      <c r="I130" s="274"/>
      <c r="J130" s="88"/>
      <c r="K130" s="10"/>
    </row>
    <row r="131" spans="1:17" s="8" customFormat="1" ht="18.75" customHeight="1" x14ac:dyDescent="0.25">
      <c r="A131" s="239"/>
      <c r="B131" s="368"/>
      <c r="D131" s="89"/>
      <c r="E131" s="89"/>
      <c r="F131" s="89"/>
      <c r="G131" s="89"/>
      <c r="H131" s="253"/>
      <c r="I131" s="274"/>
      <c r="J131" s="88"/>
      <c r="K131" s="10"/>
    </row>
    <row r="132" spans="1:17" s="8" customFormat="1" ht="18.75" customHeight="1" x14ac:dyDescent="0.25">
      <c r="A132" s="239"/>
      <c r="B132" s="368"/>
      <c r="D132" s="89"/>
      <c r="E132" s="89"/>
      <c r="F132" s="89"/>
      <c r="G132" s="89"/>
      <c r="H132" s="253"/>
      <c r="I132" s="274"/>
      <c r="J132" s="88"/>
      <c r="K132" s="10"/>
    </row>
    <row r="133" spans="1:17" s="8" customFormat="1" ht="18.75" customHeight="1" x14ac:dyDescent="0.25">
      <c r="A133" s="239"/>
      <c r="B133" s="368"/>
      <c r="D133" s="89"/>
      <c r="E133" s="89"/>
      <c r="F133" s="89"/>
      <c r="G133" s="89"/>
      <c r="H133" s="253"/>
      <c r="I133" s="274"/>
      <c r="J133" s="88"/>
      <c r="K133" s="10"/>
    </row>
    <row r="134" spans="1:17" s="8" customFormat="1" ht="18.75" customHeight="1" x14ac:dyDescent="0.25">
      <c r="A134" s="239"/>
      <c r="B134" s="368"/>
      <c r="D134" s="89"/>
      <c r="E134" s="89"/>
      <c r="F134" s="89"/>
      <c r="G134" s="89"/>
      <c r="H134" s="253"/>
      <c r="I134" s="274"/>
      <c r="J134" s="88"/>
      <c r="K134" s="10"/>
    </row>
    <row r="135" spans="1:17" s="8" customFormat="1" ht="18.75" customHeight="1" x14ac:dyDescent="0.25">
      <c r="A135" s="239"/>
      <c r="B135" s="368"/>
      <c r="D135" s="89"/>
      <c r="E135" s="89"/>
      <c r="F135" s="89"/>
      <c r="G135" s="89"/>
      <c r="H135" s="253"/>
      <c r="I135" s="274"/>
      <c r="J135" s="88"/>
      <c r="K135" s="10"/>
    </row>
    <row r="136" spans="1:17" s="8" customFormat="1" ht="18.75" customHeight="1" x14ac:dyDescent="0.25">
      <c r="A136" s="239"/>
      <c r="B136" s="368"/>
      <c r="D136" s="89"/>
      <c r="E136" s="89"/>
      <c r="F136" s="89"/>
      <c r="G136" s="89"/>
      <c r="H136" s="253"/>
      <c r="I136" s="274"/>
      <c r="J136" s="88"/>
      <c r="K136" s="10"/>
    </row>
    <row r="137" spans="1:17" s="8" customFormat="1" ht="18.75" customHeight="1" x14ac:dyDescent="0.25">
      <c r="A137" s="239"/>
      <c r="B137" s="368"/>
      <c r="D137" s="89"/>
      <c r="E137" s="89"/>
      <c r="F137" s="89"/>
      <c r="G137" s="89"/>
      <c r="H137" s="253"/>
      <c r="I137" s="274"/>
      <c r="J137" s="88"/>
      <c r="K137" s="10"/>
    </row>
    <row r="138" spans="1:17" s="8" customFormat="1" ht="18.75" customHeight="1" x14ac:dyDescent="0.25">
      <c r="A138" s="239"/>
      <c r="B138" s="368"/>
      <c r="D138" s="89"/>
      <c r="E138" s="89"/>
      <c r="F138" s="89"/>
      <c r="G138" s="89"/>
      <c r="H138" s="253"/>
      <c r="I138" s="274"/>
      <c r="J138" s="88"/>
      <c r="K138" s="10"/>
    </row>
    <row r="139" spans="1:17" s="8" customFormat="1" ht="18.75" customHeight="1" x14ac:dyDescent="0.25">
      <c r="A139" s="239"/>
      <c r="B139" s="368"/>
      <c r="D139" s="89"/>
      <c r="E139" s="89"/>
      <c r="F139" s="89"/>
      <c r="G139" s="89"/>
      <c r="H139" s="253"/>
      <c r="I139" s="274"/>
      <c r="J139" s="88"/>
      <c r="K139" s="10"/>
    </row>
    <row r="140" spans="1:17" s="8" customFormat="1" ht="18.75" customHeight="1" x14ac:dyDescent="0.25">
      <c r="A140" s="239"/>
      <c r="B140" s="255" t="s">
        <v>139</v>
      </c>
      <c r="C140" s="255"/>
      <c r="D140" s="255"/>
      <c r="E140" s="255"/>
      <c r="F140" s="255"/>
      <c r="G140" s="251" t="s">
        <v>146</v>
      </c>
      <c r="H140" s="26">
        <f>1/8*(H66*'Input (1)'!H44)*'Input (1)'!H24^2</f>
        <v>3611.0400000000013</v>
      </c>
      <c r="I140" s="256" t="s">
        <v>42</v>
      </c>
      <c r="J140" s="64"/>
      <c r="K140" s="92"/>
      <c r="L140" s="93"/>
      <c r="M140" s="92"/>
      <c r="N140" s="92"/>
      <c r="O140" s="92"/>
      <c r="P140" s="92"/>
      <c r="Q140" s="92"/>
    </row>
    <row r="141" spans="1:17" ht="18.75" customHeight="1" x14ac:dyDescent="0.25">
      <c r="A141" s="239"/>
      <c r="B141" s="247" t="s">
        <v>137</v>
      </c>
      <c r="C141" s="247"/>
      <c r="D141" s="247"/>
      <c r="E141" s="247"/>
      <c r="F141" s="247"/>
      <c r="G141" s="57" t="s">
        <v>43</v>
      </c>
      <c r="H141" s="73">
        <f>'Input (1)'!H29*1000</f>
        <v>50000</v>
      </c>
      <c r="I141" s="248" t="s">
        <v>135</v>
      </c>
      <c r="J141" s="65"/>
      <c r="K141" s="92"/>
      <c r="L141" s="92"/>
      <c r="M141" s="92"/>
      <c r="N141" s="92"/>
      <c r="O141" s="92"/>
      <c r="P141" s="92"/>
      <c r="Q141" s="92"/>
    </row>
    <row r="142" spans="1:17" ht="18.75" customHeight="1" x14ac:dyDescent="0.25">
      <c r="A142" s="239"/>
      <c r="B142" s="247" t="s">
        <v>134</v>
      </c>
      <c r="C142" s="247"/>
      <c r="D142" s="247"/>
      <c r="E142" s="247"/>
      <c r="F142" s="247"/>
      <c r="G142" s="57" t="s">
        <v>147</v>
      </c>
      <c r="H142" s="73">
        <f>0.8*H141</f>
        <v>40000</v>
      </c>
      <c r="I142" s="248" t="s">
        <v>135</v>
      </c>
      <c r="J142" s="65"/>
      <c r="K142" s="92"/>
      <c r="L142" s="92"/>
      <c r="M142" s="92"/>
      <c r="N142" s="92"/>
      <c r="O142" s="92"/>
      <c r="P142" s="92"/>
      <c r="Q142" s="92"/>
    </row>
    <row r="143" spans="1:17" ht="18.75" customHeight="1" x14ac:dyDescent="0.25">
      <c r="A143" s="239"/>
      <c r="B143" s="247" t="s">
        <v>102</v>
      </c>
      <c r="C143" s="247"/>
      <c r="D143" s="247"/>
      <c r="E143" s="247"/>
      <c r="F143" s="247"/>
      <c r="G143" s="57" t="s">
        <v>108</v>
      </c>
      <c r="H143" s="69">
        <f>H66</f>
        <v>0.75230000000000019</v>
      </c>
      <c r="I143" s="248" t="s">
        <v>127</v>
      </c>
      <c r="J143" s="65"/>
      <c r="K143" s="92"/>
      <c r="L143" s="92"/>
      <c r="M143" s="92"/>
      <c r="N143" s="92"/>
      <c r="O143" s="92"/>
      <c r="P143" s="92"/>
      <c r="Q143" s="92"/>
    </row>
    <row r="144" spans="1:17" ht="18.75" customHeight="1" x14ac:dyDescent="0.25">
      <c r="A144" s="239"/>
      <c r="B144" s="247" t="s">
        <v>103</v>
      </c>
      <c r="C144" s="247"/>
      <c r="D144" s="247"/>
      <c r="E144" s="247"/>
      <c r="F144" s="247"/>
      <c r="G144" s="57" t="s">
        <v>150</v>
      </c>
      <c r="H144" s="81">
        <f>H67</f>
        <v>1.0119504630245026</v>
      </c>
      <c r="I144" s="248" t="s">
        <v>2</v>
      </c>
      <c r="J144" s="65"/>
      <c r="K144" s="92"/>
      <c r="L144" s="92"/>
      <c r="M144" s="92"/>
      <c r="N144" s="92"/>
      <c r="O144" s="92"/>
      <c r="P144" s="92"/>
      <c r="Q144" s="92"/>
    </row>
    <row r="145" spans="1:18" ht="18.75" customHeight="1" x14ac:dyDescent="0.25">
      <c r="A145" s="239"/>
      <c r="B145" s="247" t="s">
        <v>105</v>
      </c>
      <c r="C145" s="247"/>
      <c r="D145" s="247"/>
      <c r="E145" s="247"/>
      <c r="F145" s="247"/>
      <c r="G145" s="57" t="s">
        <v>35</v>
      </c>
      <c r="H145" s="69">
        <f>H70</f>
        <v>0.38048637703086957</v>
      </c>
      <c r="I145" s="248" t="s">
        <v>129</v>
      </c>
      <c r="J145" s="65"/>
      <c r="K145" s="92"/>
      <c r="L145" s="92"/>
      <c r="M145" s="92"/>
      <c r="N145" s="92"/>
      <c r="O145" s="92"/>
      <c r="P145" s="92"/>
      <c r="Q145" s="92"/>
    </row>
    <row r="146" spans="1:18" ht="18.75" customHeight="1" x14ac:dyDescent="0.25">
      <c r="A146" s="239"/>
      <c r="B146" s="247" t="s">
        <v>106</v>
      </c>
      <c r="C146" s="247"/>
      <c r="D146" s="247"/>
      <c r="E146" s="247"/>
      <c r="F146" s="247"/>
      <c r="G146" s="57" t="s">
        <v>136</v>
      </c>
      <c r="H146" s="69">
        <f>H71</f>
        <v>0.40909910265429483</v>
      </c>
      <c r="I146" s="248" t="s">
        <v>129</v>
      </c>
      <c r="J146" s="65"/>
      <c r="K146" s="92"/>
      <c r="L146" s="92"/>
      <c r="M146" s="92"/>
      <c r="N146" s="92"/>
      <c r="O146" s="92"/>
      <c r="P146" s="92"/>
      <c r="Q146" s="92"/>
    </row>
    <row r="147" spans="1:18" ht="18.75" customHeight="1" x14ac:dyDescent="0.25">
      <c r="A147" s="239"/>
      <c r="B147" s="247" t="s">
        <v>192</v>
      </c>
      <c r="C147" s="247"/>
      <c r="D147" s="247"/>
      <c r="E147" s="247"/>
      <c r="F147" s="247"/>
      <c r="G147" s="57" t="s">
        <v>148</v>
      </c>
      <c r="H147" s="109">
        <f>'Input (1)'!H73</f>
        <v>0.2</v>
      </c>
      <c r="I147" s="248" t="s">
        <v>2</v>
      </c>
      <c r="J147" s="65"/>
      <c r="K147" s="92"/>
      <c r="L147" s="92"/>
      <c r="M147" s="92"/>
      <c r="N147" s="92"/>
      <c r="O147" s="92"/>
      <c r="P147" s="92"/>
      <c r="Q147" s="92"/>
    </row>
    <row r="148" spans="1:18" ht="18.75" customHeight="1" x14ac:dyDescent="0.25">
      <c r="A148" s="239"/>
      <c r="B148" s="42" t="s">
        <v>138</v>
      </c>
      <c r="C148" s="42"/>
      <c r="D148" s="42"/>
      <c r="E148" s="42"/>
      <c r="F148" s="42"/>
      <c r="G148" s="30" t="s">
        <v>149</v>
      </c>
      <c r="H148" s="67">
        <f>H144-H147</f>
        <v>0.81195046302450269</v>
      </c>
      <c r="I148" s="244" t="s">
        <v>2</v>
      </c>
      <c r="J148" s="4"/>
      <c r="K148" s="92"/>
      <c r="L148" s="92"/>
      <c r="M148" s="92"/>
      <c r="N148" s="92"/>
      <c r="O148" s="92"/>
      <c r="P148" s="92"/>
      <c r="Q148" s="92"/>
    </row>
    <row r="149" spans="1:18" ht="18.75" customHeight="1" x14ac:dyDescent="0.25">
      <c r="A149" s="239"/>
      <c r="B149" s="42" t="s">
        <v>140</v>
      </c>
      <c r="C149" s="42"/>
      <c r="D149" s="42"/>
      <c r="E149" s="42"/>
      <c r="F149" s="42"/>
      <c r="G149" s="42"/>
      <c r="H149" s="30"/>
      <c r="I149" s="243"/>
      <c r="L149" s="92"/>
      <c r="M149" s="92"/>
      <c r="N149" s="92"/>
      <c r="O149" s="92"/>
      <c r="P149" s="92"/>
      <c r="Q149" s="92"/>
      <c r="R149" s="92"/>
    </row>
    <row r="150" spans="1:18" ht="18.75" customHeight="1" x14ac:dyDescent="0.25">
      <c r="A150" s="239"/>
      <c r="B150" s="34" t="s">
        <v>141</v>
      </c>
      <c r="C150" s="42"/>
      <c r="D150" s="42"/>
      <c r="E150" s="42" t="s">
        <v>151</v>
      </c>
      <c r="F150" s="42"/>
      <c r="G150" s="42"/>
      <c r="H150" s="31" t="s">
        <v>536</v>
      </c>
      <c r="I150" s="329"/>
      <c r="J150" s="2"/>
      <c r="K150" s="92"/>
      <c r="L150" s="92"/>
      <c r="M150" s="92"/>
      <c r="N150" s="92"/>
      <c r="O150" s="92"/>
      <c r="P150" s="92"/>
      <c r="Q150" s="92"/>
    </row>
    <row r="151" spans="1:18" ht="18.75" customHeight="1" x14ac:dyDescent="0.25">
      <c r="A151" s="239"/>
      <c r="B151" s="34" t="s">
        <v>142</v>
      </c>
      <c r="C151" s="42"/>
      <c r="D151" s="42"/>
      <c r="E151" s="333" t="s">
        <v>153</v>
      </c>
      <c r="F151" s="42"/>
      <c r="G151" s="42"/>
      <c r="H151" s="31" t="s">
        <v>537</v>
      </c>
      <c r="I151" s="329"/>
      <c r="J151" s="110"/>
      <c r="K151" s="92"/>
      <c r="L151" s="92"/>
      <c r="M151" s="92"/>
      <c r="N151" s="92"/>
      <c r="O151" s="92"/>
      <c r="P151" s="92"/>
      <c r="Q151" s="92"/>
    </row>
    <row r="152" spans="1:18" ht="18.75" customHeight="1" x14ac:dyDescent="0.25">
      <c r="A152" s="239"/>
      <c r="B152" s="42" t="s">
        <v>143</v>
      </c>
      <c r="C152" s="42"/>
      <c r="D152" s="42"/>
      <c r="E152" s="42"/>
      <c r="F152" s="42"/>
      <c r="G152" s="42"/>
      <c r="H152" s="30"/>
      <c r="I152" s="243"/>
      <c r="L152" s="92"/>
      <c r="M152" s="92"/>
      <c r="N152" s="92"/>
      <c r="O152" s="92"/>
      <c r="P152" s="92"/>
      <c r="Q152" s="92"/>
      <c r="R152" s="92"/>
    </row>
    <row r="153" spans="1:18" ht="18.75" customHeight="1" x14ac:dyDescent="0.25">
      <c r="A153" s="239"/>
      <c r="B153" s="34" t="s">
        <v>144</v>
      </c>
      <c r="C153" s="42"/>
      <c r="D153" s="42"/>
      <c r="E153" s="42"/>
      <c r="F153" s="42"/>
      <c r="G153" s="30" t="s">
        <v>152</v>
      </c>
      <c r="H153" s="67">
        <f>H140/(H148-H145/H143)</f>
        <v>11793.603946060826</v>
      </c>
      <c r="I153" s="244" t="s">
        <v>135</v>
      </c>
      <c r="J153" s="4"/>
      <c r="K153" s="92"/>
      <c r="L153" s="92"/>
      <c r="M153" s="94"/>
      <c r="N153" s="92"/>
      <c r="O153" s="92"/>
      <c r="P153" s="92"/>
      <c r="Q153" s="92"/>
    </row>
    <row r="154" spans="1:18" ht="18.75" customHeight="1" x14ac:dyDescent="0.25">
      <c r="A154" s="239"/>
      <c r="B154" s="34" t="s">
        <v>145</v>
      </c>
      <c r="C154" s="42"/>
      <c r="D154" s="42"/>
      <c r="E154" s="42"/>
      <c r="F154" s="42"/>
      <c r="G154" s="30" t="s">
        <v>154</v>
      </c>
      <c r="H154" s="67">
        <f>(0.6*H142*H146+H140)/(H146/H143+H148)</f>
        <v>9905.5396910481722</v>
      </c>
      <c r="I154" s="244" t="s">
        <v>135</v>
      </c>
      <c r="J154" s="4"/>
      <c r="K154" s="92"/>
      <c r="L154" s="92"/>
      <c r="M154" s="92"/>
      <c r="N154" s="92"/>
      <c r="O154" s="92"/>
      <c r="P154" s="92"/>
      <c r="Q154" s="92"/>
    </row>
    <row r="155" spans="1:18" ht="18.75" customHeight="1" x14ac:dyDescent="0.25">
      <c r="A155" s="239"/>
      <c r="B155" s="42" t="s">
        <v>398</v>
      </c>
      <c r="C155" s="42"/>
      <c r="D155" s="42"/>
      <c r="E155" s="42"/>
      <c r="F155" s="42"/>
      <c r="G155" s="30" t="s">
        <v>155</v>
      </c>
      <c r="H155" s="67">
        <f>MIN(H153:H154)</f>
        <v>9905.5396910481722</v>
      </c>
      <c r="I155" s="244" t="s">
        <v>135</v>
      </c>
      <c r="J155" s="4"/>
      <c r="K155" s="92"/>
      <c r="L155" s="92"/>
      <c r="M155" s="92"/>
      <c r="N155" s="92"/>
      <c r="O155" s="92"/>
      <c r="P155" s="92"/>
      <c r="Q155" s="95"/>
    </row>
    <row r="156" spans="1:18" ht="18.75" customHeight="1" x14ac:dyDescent="0.25">
      <c r="A156" s="239"/>
      <c r="B156" s="42"/>
      <c r="C156" s="42"/>
      <c r="D156" s="42"/>
      <c r="E156" s="42"/>
      <c r="F156" s="42"/>
      <c r="G156" s="30"/>
      <c r="H156" s="237"/>
      <c r="I156" s="329"/>
      <c r="J156" s="4"/>
      <c r="K156" s="1"/>
    </row>
    <row r="157" spans="1:18" ht="18.75" customHeight="1" x14ac:dyDescent="0.25">
      <c r="A157" s="239" t="s">
        <v>1314</v>
      </c>
      <c r="B157" s="332" t="s">
        <v>602</v>
      </c>
      <c r="C157" s="247"/>
      <c r="D157" s="247"/>
      <c r="E157" s="247"/>
      <c r="F157" s="247"/>
      <c r="G157" s="57"/>
      <c r="H157" s="252"/>
      <c r="I157" s="334"/>
      <c r="J157" s="4"/>
      <c r="K157" s="1"/>
      <c r="L157" s="105"/>
      <c r="M157" s="105"/>
      <c r="N157" s="105"/>
    </row>
    <row r="158" spans="1:18" ht="18.75" customHeight="1" x14ac:dyDescent="0.25">
      <c r="A158" s="319"/>
      <c r="B158" s="335" t="s">
        <v>263</v>
      </c>
      <c r="C158" s="335"/>
      <c r="D158" s="335"/>
      <c r="E158" s="335"/>
      <c r="F158" s="335"/>
      <c r="G158" s="336" t="s">
        <v>582</v>
      </c>
      <c r="H158" s="77">
        <f>'Input (1)'!H57</f>
        <v>98.7</v>
      </c>
      <c r="I158" s="337" t="s">
        <v>584</v>
      </c>
      <c r="J158" s="1"/>
      <c r="K158" s="118"/>
    </row>
    <row r="159" spans="1:18" ht="18.75" customHeight="1" x14ac:dyDescent="0.25">
      <c r="A159" s="239"/>
      <c r="B159" s="247" t="s">
        <v>156</v>
      </c>
      <c r="C159" s="247"/>
      <c r="D159" s="247"/>
      <c r="E159" s="247"/>
      <c r="F159" s="247"/>
      <c r="G159" s="57" t="s">
        <v>159</v>
      </c>
      <c r="H159" s="77">
        <f>'Input (1)'!H58</f>
        <v>183.58199999999999</v>
      </c>
      <c r="I159" s="248" t="s">
        <v>40</v>
      </c>
      <c r="J159" s="4"/>
      <c r="K159" s="98"/>
      <c r="L159" s="105"/>
      <c r="M159" s="105"/>
      <c r="N159" s="105"/>
    </row>
    <row r="160" spans="1:18" ht="18.75" customHeight="1" x14ac:dyDescent="0.25">
      <c r="A160" s="239"/>
      <c r="B160" s="247" t="s">
        <v>158</v>
      </c>
      <c r="C160" s="247"/>
      <c r="D160" s="247"/>
      <c r="E160" s="247"/>
      <c r="F160" s="247"/>
      <c r="G160" s="57" t="s">
        <v>940</v>
      </c>
      <c r="H160" s="203">
        <f>ROUNDUP(H155/(1*0.8*H159),0)</f>
        <v>68</v>
      </c>
      <c r="I160" s="248" t="s">
        <v>160</v>
      </c>
      <c r="J160" s="1"/>
      <c r="K160" s="98"/>
      <c r="L160" s="105"/>
      <c r="M160" s="105"/>
      <c r="N160" s="105"/>
    </row>
    <row r="161" spans="1:22" ht="18.75" customHeight="1" x14ac:dyDescent="0.25">
      <c r="A161" s="239"/>
      <c r="B161" s="247"/>
      <c r="C161" s="247"/>
      <c r="D161" s="247"/>
      <c r="E161" s="247"/>
      <c r="F161" s="247"/>
      <c r="G161" s="57" t="s">
        <v>952</v>
      </c>
      <c r="H161" s="203">
        <f>ROUNDUP(H155/(0.94*'Input (1)'!H54*'Input (1)'!H57/1000),0)</f>
        <v>68</v>
      </c>
      <c r="I161" s="248" t="s">
        <v>160</v>
      </c>
      <c r="J161" s="1"/>
      <c r="K161" s="98"/>
      <c r="L161" s="105"/>
      <c r="M161" s="105"/>
      <c r="N161" s="105"/>
    </row>
    <row r="162" spans="1:22" ht="18.75" customHeight="1" x14ac:dyDescent="0.25">
      <c r="A162" s="239"/>
      <c r="B162" s="247" t="s">
        <v>161</v>
      </c>
      <c r="C162" s="247"/>
      <c r="D162" s="247"/>
      <c r="E162" s="247"/>
      <c r="F162" s="247"/>
      <c r="G162" s="57" t="s">
        <v>162</v>
      </c>
      <c r="H162" s="82">
        <f>MAX(H160:H161)</f>
        <v>68</v>
      </c>
      <c r="I162" s="248" t="s">
        <v>160</v>
      </c>
      <c r="J162" s="65"/>
      <c r="K162" s="98"/>
      <c r="L162" s="106"/>
      <c r="M162" s="106"/>
      <c r="N162" s="106"/>
    </row>
    <row r="163" spans="1:22" ht="18.75" customHeight="1" x14ac:dyDescent="0.25">
      <c r="A163" s="239"/>
      <c r="B163" s="247"/>
      <c r="C163" s="247"/>
      <c r="D163" s="247"/>
      <c r="E163" s="247"/>
      <c r="F163" s="247"/>
      <c r="G163" s="57"/>
      <c r="H163" s="115"/>
      <c r="I163" s="334"/>
      <c r="J163" s="65"/>
      <c r="K163" s="100"/>
      <c r="L163" s="100"/>
      <c r="M163" s="100"/>
      <c r="N163" s="92"/>
      <c r="O163" s="92"/>
      <c r="P163" s="96"/>
      <c r="Q163" s="97"/>
      <c r="R163" s="98"/>
      <c r="S163" s="106"/>
      <c r="T163" s="106"/>
      <c r="U163" s="106"/>
    </row>
    <row r="164" spans="1:22" ht="18.75" customHeight="1" x14ac:dyDescent="0.25">
      <c r="A164" s="239"/>
      <c r="B164" s="247" t="s">
        <v>163</v>
      </c>
      <c r="C164" s="247"/>
      <c r="D164" s="247"/>
      <c r="E164" s="247"/>
      <c r="F164" s="247"/>
      <c r="G164" s="42"/>
      <c r="H164" s="42"/>
      <c r="I164" s="329"/>
      <c r="J164" s="1"/>
      <c r="K164" s="100"/>
      <c r="L164" s="97"/>
      <c r="M164" s="100"/>
      <c r="N164" s="92"/>
      <c r="O164" s="92"/>
      <c r="P164" s="96"/>
      <c r="Q164" s="101"/>
      <c r="R164" s="102"/>
      <c r="S164" s="106"/>
      <c r="T164" s="107"/>
      <c r="U164" s="106"/>
    </row>
    <row r="165" spans="1:22" ht="18.75" customHeight="1" x14ac:dyDescent="0.25">
      <c r="A165" s="239"/>
      <c r="B165" s="247"/>
      <c r="C165" s="247"/>
      <c r="D165" s="247"/>
      <c r="E165" s="247"/>
      <c r="F165" s="247"/>
      <c r="G165" s="57" t="s">
        <v>399</v>
      </c>
      <c r="H165" s="84">
        <f>H155/(H162*H159)</f>
        <v>0.79348575208323102</v>
      </c>
      <c r="I165" s="334"/>
      <c r="J165" s="66"/>
      <c r="K165" s="100"/>
      <c r="L165" s="97"/>
      <c r="M165" s="100"/>
      <c r="N165" s="92"/>
      <c r="O165" s="92"/>
      <c r="P165" s="96"/>
      <c r="Q165" s="101"/>
      <c r="R165" s="102"/>
      <c r="S165" s="106"/>
      <c r="T165" s="107"/>
      <c r="U165" s="106"/>
    </row>
    <row r="166" spans="1:22" ht="18.75" customHeight="1" x14ac:dyDescent="0.25">
      <c r="A166" s="239"/>
      <c r="B166" s="247" t="s">
        <v>164</v>
      </c>
      <c r="C166" s="247"/>
      <c r="D166" s="247"/>
      <c r="E166" s="247"/>
      <c r="F166" s="255"/>
      <c r="G166" s="251" t="s">
        <v>375</v>
      </c>
      <c r="H166" s="26">
        <f>H165*H162*H159</f>
        <v>9905.5396910481722</v>
      </c>
      <c r="I166" s="256" t="s">
        <v>40</v>
      </c>
      <c r="J166" s="64"/>
      <c r="K166" s="100"/>
      <c r="L166" s="100"/>
      <c r="M166" s="100"/>
      <c r="N166" s="92"/>
      <c r="O166" s="92"/>
      <c r="P166" s="96"/>
      <c r="Q166" s="99"/>
      <c r="R166" s="98"/>
      <c r="S166" s="106"/>
      <c r="T166" s="106"/>
      <c r="U166" s="106"/>
    </row>
    <row r="167" spans="1:22" ht="18.75" customHeight="1" x14ac:dyDescent="0.25">
      <c r="A167" s="239"/>
      <c r="B167" s="247" t="s">
        <v>538</v>
      </c>
      <c r="C167" s="247"/>
      <c r="D167" s="247"/>
      <c r="E167" s="247"/>
      <c r="F167" s="255"/>
      <c r="G167" s="251" t="s">
        <v>623</v>
      </c>
      <c r="H167" s="25">
        <f>-H71/H66+(H140+1/8*(H37*('Input (1)'!H46*'Input (1)'!H16+'Input (1)'!H47*'Input (1)'!H17)*'Input (1)'!H24^2))/H166</f>
        <v>-0.10811217397947465</v>
      </c>
      <c r="I167" s="256" t="s">
        <v>2</v>
      </c>
      <c r="J167" s="292" t="s">
        <v>540</v>
      </c>
      <c r="K167" s="100"/>
      <c r="L167" s="100"/>
      <c r="M167" s="100"/>
      <c r="N167" s="92"/>
      <c r="O167" s="92"/>
      <c r="P167" s="96"/>
      <c r="Q167" s="99"/>
      <c r="R167" s="98"/>
      <c r="S167" s="106"/>
      <c r="T167" s="106"/>
      <c r="U167" s="106"/>
    </row>
    <row r="168" spans="1:22" ht="18.75" customHeight="1" x14ac:dyDescent="0.25">
      <c r="A168" s="239"/>
      <c r="B168" s="247" t="s">
        <v>539</v>
      </c>
      <c r="C168" s="247"/>
      <c r="D168" s="247"/>
      <c r="E168" s="247"/>
      <c r="F168" s="255"/>
      <c r="G168" s="251" t="s">
        <v>622</v>
      </c>
      <c r="H168" s="25">
        <f>H67-H70/H66+H140/H166</f>
        <v>0.87073383094322576</v>
      </c>
      <c r="I168" s="256" t="s">
        <v>2</v>
      </c>
      <c r="J168" s="121"/>
      <c r="K168" s="100"/>
      <c r="L168" s="100"/>
      <c r="M168" s="100"/>
      <c r="N168" s="92"/>
      <c r="O168" s="92"/>
      <c r="P168" s="96"/>
      <c r="Q168" s="99"/>
      <c r="R168" s="98"/>
      <c r="S168" s="106"/>
      <c r="T168" s="106"/>
      <c r="U168" s="106"/>
    </row>
    <row r="169" spans="1:22" ht="18.75" customHeight="1" x14ac:dyDescent="0.25">
      <c r="A169" s="239"/>
      <c r="B169" s="247" t="s">
        <v>165</v>
      </c>
      <c r="C169" s="247"/>
      <c r="D169" s="247"/>
      <c r="E169" s="247"/>
      <c r="F169" s="247"/>
      <c r="G169" s="57" t="s">
        <v>166</v>
      </c>
      <c r="H169" s="111">
        <v>0.3</v>
      </c>
      <c r="I169" s="334"/>
      <c r="J169" s="65"/>
      <c r="K169" s="100"/>
      <c r="L169" s="100"/>
      <c r="M169" s="100"/>
      <c r="N169" s="92"/>
      <c r="O169" s="92"/>
      <c r="P169" s="96"/>
      <c r="Q169" s="103"/>
      <c r="R169" s="98"/>
      <c r="S169" s="106"/>
      <c r="T169" s="106"/>
      <c r="U169" s="106"/>
    </row>
    <row r="170" spans="1:22" ht="18.75" customHeight="1" x14ac:dyDescent="0.25">
      <c r="A170" s="239"/>
      <c r="B170" s="247"/>
      <c r="C170" s="247"/>
      <c r="D170" s="247"/>
      <c r="E170" s="247"/>
      <c r="F170" s="247"/>
      <c r="G170" s="57"/>
      <c r="H170" s="112"/>
      <c r="I170" s="334"/>
      <c r="J170" s="65"/>
      <c r="K170" s="100"/>
      <c r="L170" s="100"/>
      <c r="M170" s="100"/>
      <c r="N170" s="92"/>
      <c r="O170" s="92"/>
      <c r="P170" s="96"/>
      <c r="Q170" s="103"/>
      <c r="R170" s="98"/>
      <c r="S170" s="106"/>
      <c r="T170" s="106"/>
      <c r="U170" s="106"/>
    </row>
    <row r="171" spans="1:22" ht="18.75" customHeight="1" x14ac:dyDescent="0.25">
      <c r="A171" s="239"/>
      <c r="B171" s="247" t="s">
        <v>541</v>
      </c>
      <c r="C171" s="247"/>
      <c r="D171" s="247"/>
      <c r="E171" s="247"/>
      <c r="F171" s="247"/>
      <c r="G171" s="247"/>
      <c r="H171" s="57"/>
      <c r="I171" s="338"/>
      <c r="J171" s="117"/>
      <c r="K171" s="65"/>
      <c r="L171" s="100"/>
      <c r="M171" s="100"/>
      <c r="N171" s="100"/>
      <c r="O171" s="92"/>
      <c r="P171" s="92"/>
      <c r="Q171" s="96"/>
      <c r="R171" s="103"/>
      <c r="S171" s="98"/>
      <c r="T171" s="106"/>
      <c r="U171" s="106"/>
      <c r="V171" s="106"/>
    </row>
    <row r="172" spans="1:22" ht="18.75" customHeight="1" x14ac:dyDescent="0.25">
      <c r="A172" s="239"/>
      <c r="B172" s="259" t="s">
        <v>361</v>
      </c>
      <c r="C172" s="289" t="s">
        <v>951</v>
      </c>
      <c r="D172" s="115" t="s">
        <v>362</v>
      </c>
      <c r="E172" s="291">
        <v>0.8</v>
      </c>
      <c r="F172" s="42"/>
      <c r="G172" s="247"/>
      <c r="H172" s="57"/>
      <c r="I172" s="338"/>
      <c r="J172" s="117"/>
      <c r="K172" s="65"/>
      <c r="L172" s="100"/>
      <c r="M172" s="100"/>
      <c r="N172" s="100"/>
      <c r="O172" s="92"/>
      <c r="P172" s="92"/>
      <c r="Q172" s="96"/>
      <c r="R172" s="103"/>
      <c r="S172" s="98"/>
      <c r="T172" s="106"/>
      <c r="U172" s="106"/>
      <c r="V172" s="106"/>
    </row>
    <row r="173" spans="1:22" ht="18.75" customHeight="1" x14ac:dyDescent="0.25">
      <c r="A173" s="239"/>
      <c r="B173" s="247"/>
      <c r="C173" s="113">
        <f>H165</f>
        <v>0.79348575208323102</v>
      </c>
      <c r="D173" s="115" t="str">
        <f>IF(C173&lt;E173,"&lt;","&gt;")</f>
        <v>&lt;</v>
      </c>
      <c r="E173" s="85">
        <v>0.8</v>
      </c>
      <c r="F173" s="42"/>
      <c r="G173" s="339" t="s">
        <v>363</v>
      </c>
      <c r="H173" s="439" t="str">
        <f>IF(C173&lt;E173,"[ OK ]","[ NOT OK ]")</f>
        <v>[ OK ]</v>
      </c>
      <c r="I173" s="243"/>
      <c r="J173" s="117"/>
      <c r="K173" s="65"/>
      <c r="L173" s="100"/>
      <c r="M173" s="100"/>
      <c r="N173" s="100"/>
      <c r="O173" s="92"/>
      <c r="P173" s="92"/>
      <c r="Q173" s="96"/>
      <c r="R173" s="103"/>
      <c r="S173" s="98"/>
      <c r="T173" s="106"/>
      <c r="U173" s="106"/>
      <c r="V173" s="106"/>
    </row>
    <row r="174" spans="1:22" ht="18.75" customHeight="1" x14ac:dyDescent="0.25">
      <c r="A174" s="239"/>
      <c r="B174" s="247"/>
      <c r="C174" s="247"/>
      <c r="D174" s="247"/>
      <c r="E174" s="247"/>
      <c r="F174" s="247"/>
      <c r="G174" s="247"/>
      <c r="H174" s="115"/>
      <c r="I174" s="340"/>
      <c r="J174" s="117"/>
      <c r="K174" s="65"/>
      <c r="L174" s="100"/>
      <c r="M174" s="100"/>
      <c r="N174" s="100"/>
      <c r="O174" s="92"/>
      <c r="P174" s="92"/>
      <c r="Q174" s="96"/>
      <c r="R174" s="103"/>
      <c r="S174" s="98"/>
      <c r="T174" s="106"/>
      <c r="U174" s="106"/>
      <c r="V174" s="106"/>
    </row>
    <row r="175" spans="1:22" ht="18.75" customHeight="1" x14ac:dyDescent="0.25">
      <c r="A175" s="239"/>
      <c r="B175" s="247" t="s">
        <v>542</v>
      </c>
      <c r="C175" s="247"/>
      <c r="D175" s="247"/>
      <c r="E175" s="247"/>
      <c r="F175" s="247"/>
      <c r="G175" s="247"/>
      <c r="H175" s="115"/>
      <c r="I175" s="340"/>
      <c r="J175" s="117"/>
      <c r="K175" s="65"/>
      <c r="L175" s="100"/>
      <c r="M175" s="100"/>
      <c r="N175" s="100"/>
      <c r="O175" s="92"/>
      <c r="P175" s="92"/>
      <c r="Q175" s="96"/>
      <c r="R175" s="103"/>
      <c r="S175" s="98"/>
      <c r="T175" s="106"/>
      <c r="U175" s="106"/>
      <c r="V175" s="106"/>
    </row>
    <row r="176" spans="1:22" ht="18.75" customHeight="1" x14ac:dyDescent="0.25">
      <c r="A176" s="239"/>
      <c r="B176" s="259" t="s">
        <v>361</v>
      </c>
      <c r="C176" s="42"/>
      <c r="D176" s="42"/>
      <c r="E176" s="42"/>
      <c r="F176" s="42"/>
      <c r="G176" s="42"/>
      <c r="H176" s="31"/>
      <c r="I176" s="340"/>
      <c r="J176" s="117"/>
      <c r="K176" s="65"/>
      <c r="L176" s="100"/>
      <c r="M176" s="100"/>
      <c r="N176" s="100"/>
      <c r="O176" s="92"/>
      <c r="P176" s="92"/>
      <c r="Q176" s="96"/>
      <c r="R176" s="103"/>
      <c r="S176" s="98"/>
      <c r="T176" s="106"/>
      <c r="U176" s="106"/>
      <c r="V176" s="106"/>
    </row>
    <row r="177" spans="1:22" ht="18.75" customHeight="1" x14ac:dyDescent="0.25">
      <c r="A177" s="239"/>
      <c r="B177" s="289" t="s">
        <v>543</v>
      </c>
      <c r="C177" s="115" t="s">
        <v>362</v>
      </c>
      <c r="D177" s="289" t="s">
        <v>544</v>
      </c>
      <c r="E177" s="115" t="s">
        <v>362</v>
      </c>
      <c r="F177" s="289" t="s">
        <v>545</v>
      </c>
      <c r="G177" s="31"/>
      <c r="H177" s="293"/>
      <c r="I177" s="43"/>
      <c r="J177" s="117"/>
      <c r="K177" s="65"/>
      <c r="L177" s="100"/>
      <c r="M177" s="100"/>
      <c r="N177" s="100"/>
      <c r="O177" s="92"/>
      <c r="P177" s="92"/>
      <c r="Q177" s="96"/>
      <c r="R177" s="103"/>
      <c r="S177" s="98"/>
      <c r="T177" s="106"/>
      <c r="U177" s="106"/>
      <c r="V177" s="106"/>
    </row>
    <row r="178" spans="1:22" ht="18.75" customHeight="1" x14ac:dyDescent="0.25">
      <c r="A178" s="239"/>
      <c r="B178" s="347">
        <f>H167</f>
        <v>-0.10811217397947465</v>
      </c>
      <c r="C178" s="115" t="str">
        <f>IF(B178&lt;D178,"&lt;","&gt;")</f>
        <v>&lt;</v>
      </c>
      <c r="D178" s="81">
        <f>H148</f>
        <v>0.81195046302450269</v>
      </c>
      <c r="E178" s="115" t="str">
        <f>IF(D178&lt;F178,"&lt;","&gt;")</f>
        <v>&lt;</v>
      </c>
      <c r="F178" s="81">
        <f>H168</f>
        <v>0.87073383094322576</v>
      </c>
      <c r="G178" s="339" t="s">
        <v>363</v>
      </c>
      <c r="H178" s="439" t="str">
        <f>IF(B178&lt;'Input (1)'!E25,IF(D178&lt;F178,"[ OK ]","[ NOT OK ]"),"[ NOT OK ]")</f>
        <v>[ OK ]</v>
      </c>
      <c r="I178" s="43"/>
      <c r="J178" s="117"/>
      <c r="K178" s="124"/>
      <c r="L178" s="100"/>
      <c r="M178" s="100"/>
      <c r="N178" s="100"/>
      <c r="O178" s="92"/>
      <c r="P178" s="92"/>
      <c r="Q178" s="96"/>
      <c r="R178" s="103"/>
      <c r="S178" s="98"/>
      <c r="T178" s="106"/>
      <c r="U178" s="106"/>
      <c r="V178" s="106"/>
    </row>
    <row r="179" spans="1:22" ht="18.75" customHeight="1" x14ac:dyDescent="0.25">
      <c r="A179" s="239"/>
      <c r="B179" s="247"/>
      <c r="C179" s="247"/>
      <c r="D179" s="247"/>
      <c r="E179" s="247"/>
      <c r="F179" s="247"/>
      <c r="G179" s="247"/>
      <c r="H179" s="57"/>
      <c r="I179" s="338"/>
      <c r="J179" s="117"/>
      <c r="K179" s="65"/>
      <c r="L179" s="100"/>
      <c r="M179" s="100"/>
      <c r="N179" s="100"/>
      <c r="O179" s="92"/>
      <c r="P179" s="92"/>
      <c r="Q179" s="96"/>
      <c r="R179" s="103"/>
      <c r="S179" s="98"/>
      <c r="T179" s="106"/>
      <c r="U179" s="106"/>
      <c r="V179" s="106"/>
    </row>
    <row r="180" spans="1:22" ht="18.75" customHeight="1" x14ac:dyDescent="0.25">
      <c r="A180" s="239"/>
      <c r="B180" s="247" t="s">
        <v>167</v>
      </c>
      <c r="C180" s="247"/>
      <c r="D180" s="247"/>
      <c r="E180" s="247"/>
      <c r="F180" s="247"/>
      <c r="G180" s="57" t="s">
        <v>168</v>
      </c>
      <c r="H180" s="73">
        <f>0.7*H166</f>
        <v>6933.8777837337202</v>
      </c>
      <c r="I180" s="248" t="s">
        <v>40</v>
      </c>
      <c r="K180" s="1"/>
      <c r="L180" s="100"/>
      <c r="M180" s="100"/>
      <c r="N180" s="104"/>
      <c r="O180" s="92"/>
      <c r="P180" s="92"/>
      <c r="Q180" s="96"/>
      <c r="R180" s="99"/>
      <c r="S180" s="98"/>
      <c r="T180" s="106"/>
      <c r="U180" s="106"/>
      <c r="V180" s="108"/>
    </row>
    <row r="181" spans="1:22" ht="18.75" customHeight="1" x14ac:dyDescent="0.25">
      <c r="A181" s="239"/>
      <c r="B181" s="42"/>
      <c r="C181" s="42"/>
      <c r="D181" s="42"/>
      <c r="E181" s="42"/>
      <c r="F181" s="42"/>
      <c r="G181" s="42"/>
      <c r="H181" s="57"/>
      <c r="I181" s="341"/>
      <c r="J181" s="66"/>
      <c r="K181" s="65"/>
    </row>
    <row r="182" spans="1:22" ht="18.75" customHeight="1" x14ac:dyDescent="0.25">
      <c r="A182" s="239" t="s">
        <v>1315</v>
      </c>
      <c r="B182" s="332" t="s">
        <v>621</v>
      </c>
      <c r="C182" s="42"/>
      <c r="D182" s="42"/>
      <c r="E182" s="42"/>
      <c r="F182" s="42"/>
      <c r="G182" s="42"/>
      <c r="H182" s="30"/>
      <c r="I182" s="243"/>
      <c r="J182" s="28"/>
      <c r="Q182" s="71"/>
    </row>
    <row r="183" spans="1:22" ht="18.75" customHeight="1" x14ac:dyDescent="0.25">
      <c r="A183" s="239"/>
      <c r="B183" s="247" t="s">
        <v>169</v>
      </c>
      <c r="C183" s="247"/>
      <c r="D183" s="247"/>
      <c r="E183" s="247"/>
      <c r="F183" s="42"/>
      <c r="G183" s="153"/>
      <c r="H183" s="299">
        <f>'Input (1)'!H37</f>
        <v>13</v>
      </c>
      <c r="I183" s="248" t="s">
        <v>5</v>
      </c>
      <c r="J183" s="4"/>
      <c r="K183" s="1"/>
    </row>
    <row r="184" spans="1:22" ht="18.75" customHeight="1" x14ac:dyDescent="0.25">
      <c r="A184" s="239"/>
      <c r="B184" s="247" t="s">
        <v>546</v>
      </c>
      <c r="C184" s="247"/>
      <c r="D184" s="247"/>
      <c r="E184" s="247"/>
      <c r="F184" s="42"/>
      <c r="G184" s="251" t="s">
        <v>547</v>
      </c>
      <c r="H184" s="69">
        <f>1/4*'Input (1)'!H29^0.5/'Input (1)'!H39</f>
        <v>4.419417382415922E-3</v>
      </c>
      <c r="I184" s="248"/>
      <c r="J184" s="4"/>
      <c r="K184" s="1"/>
    </row>
    <row r="185" spans="1:22" ht="18.75" customHeight="1" x14ac:dyDescent="0.25">
      <c r="A185" s="239"/>
      <c r="B185" s="247"/>
      <c r="C185" s="247"/>
      <c r="D185" s="247"/>
      <c r="E185" s="247"/>
      <c r="F185" s="42"/>
      <c r="G185" s="251" t="s">
        <v>548</v>
      </c>
      <c r="H185" s="69">
        <f>1.4/'Input (1)'!H39</f>
        <v>3.4999999999999996E-3</v>
      </c>
      <c r="I185" s="248"/>
      <c r="J185" s="4"/>
      <c r="K185" s="1"/>
    </row>
    <row r="186" spans="1:22" ht="18.75" customHeight="1" x14ac:dyDescent="0.25">
      <c r="A186" s="239"/>
      <c r="B186" s="247"/>
      <c r="C186" s="247"/>
      <c r="D186" s="247"/>
      <c r="E186" s="247"/>
      <c r="F186" s="42"/>
      <c r="G186" s="251" t="s">
        <v>549</v>
      </c>
      <c r="H186" s="69">
        <v>4.0000000000000001E-3</v>
      </c>
      <c r="I186" s="248"/>
      <c r="J186" s="4"/>
      <c r="K186" s="1"/>
    </row>
    <row r="187" spans="1:22" ht="18.75" customHeight="1" x14ac:dyDescent="0.25">
      <c r="A187" s="239"/>
      <c r="B187" s="247" t="s">
        <v>550</v>
      </c>
      <c r="C187" s="247"/>
      <c r="D187" s="247"/>
      <c r="E187" s="247"/>
      <c r="F187" s="42"/>
      <c r="G187" s="251" t="s">
        <v>551</v>
      </c>
      <c r="H187" s="69">
        <f>MAX(H184:H186)</f>
        <v>4.419417382415922E-3</v>
      </c>
      <c r="I187" s="248"/>
      <c r="J187" s="4"/>
      <c r="K187" s="1"/>
    </row>
    <row r="188" spans="1:22" ht="18.75" customHeight="1" x14ac:dyDescent="0.25">
      <c r="A188" s="239"/>
      <c r="B188" s="247" t="s">
        <v>171</v>
      </c>
      <c r="C188" s="247"/>
      <c r="D188" s="247"/>
      <c r="E188" s="247"/>
      <c r="F188" s="42"/>
      <c r="G188" s="57" t="s">
        <v>888</v>
      </c>
      <c r="H188" s="73">
        <f>1/4*PI()*H183^2</f>
        <v>132.73228961416876</v>
      </c>
      <c r="I188" s="248" t="s">
        <v>179</v>
      </c>
      <c r="J188" s="4"/>
      <c r="K188" s="1"/>
    </row>
    <row r="189" spans="1:22" ht="18.75" customHeight="1" x14ac:dyDescent="0.25">
      <c r="A189" s="239"/>
      <c r="B189" s="247"/>
      <c r="C189" s="247"/>
      <c r="D189" s="247"/>
      <c r="E189" s="247"/>
      <c r="F189" s="42"/>
      <c r="G189" s="42"/>
      <c r="H189" s="57"/>
      <c r="I189" s="341"/>
      <c r="J189" s="117"/>
      <c r="Q189" s="7"/>
      <c r="T189" s="9"/>
    </row>
    <row r="190" spans="1:22" ht="18.75" customHeight="1" x14ac:dyDescent="0.25">
      <c r="A190" s="239"/>
      <c r="B190" s="247"/>
      <c r="C190" s="247"/>
      <c r="D190" s="247"/>
      <c r="E190" s="247"/>
      <c r="F190" s="42"/>
      <c r="G190" s="42"/>
      <c r="H190" s="57"/>
      <c r="I190" s="341"/>
      <c r="J190" s="117"/>
      <c r="Q190" s="7"/>
      <c r="T190" s="9"/>
    </row>
    <row r="191" spans="1:22" ht="18.75" customHeight="1" x14ac:dyDescent="0.25">
      <c r="A191" s="239"/>
      <c r="B191" s="247"/>
      <c r="C191" s="247"/>
      <c r="D191" s="247"/>
      <c r="E191" s="247"/>
      <c r="F191" s="42"/>
      <c r="G191" s="42"/>
      <c r="H191" s="57"/>
      <c r="I191" s="341"/>
      <c r="J191" s="117"/>
      <c r="Q191" s="7"/>
      <c r="T191" s="9"/>
    </row>
    <row r="192" spans="1:22" ht="18.75" customHeight="1" x14ac:dyDescent="0.25">
      <c r="A192" s="239"/>
      <c r="B192" s="247"/>
      <c r="C192" s="247"/>
      <c r="D192" s="247"/>
      <c r="E192" s="247"/>
      <c r="F192" s="42"/>
      <c r="G192" s="42"/>
      <c r="H192" s="57"/>
      <c r="I192" s="341"/>
      <c r="J192" s="117"/>
      <c r="Q192" s="7"/>
      <c r="T192" s="9"/>
    </row>
    <row r="193" spans="1:20" ht="18.75" customHeight="1" x14ac:dyDescent="0.25">
      <c r="A193" s="239"/>
      <c r="B193" s="247"/>
      <c r="C193" s="247"/>
      <c r="D193" s="247"/>
      <c r="E193" s="247"/>
      <c r="F193" s="42"/>
      <c r="G193" s="42"/>
      <c r="H193" s="57"/>
      <c r="I193" s="341"/>
      <c r="J193" s="117"/>
      <c r="Q193" s="7"/>
      <c r="T193" s="9"/>
    </row>
    <row r="194" spans="1:20" ht="18.75" customHeight="1" x14ac:dyDescent="0.25">
      <c r="A194" s="239"/>
      <c r="B194" s="247"/>
      <c r="C194" s="247"/>
      <c r="D194" s="247"/>
      <c r="E194" s="247"/>
      <c r="F194" s="42"/>
      <c r="G194" s="42"/>
      <c r="H194" s="57"/>
      <c r="I194" s="341"/>
      <c r="J194" s="117"/>
      <c r="Q194" s="7"/>
      <c r="T194" s="9"/>
    </row>
    <row r="195" spans="1:20" ht="18.75" customHeight="1" x14ac:dyDescent="0.25">
      <c r="A195" s="239"/>
      <c r="B195" s="247"/>
      <c r="C195" s="247"/>
      <c r="D195" s="247"/>
      <c r="E195" s="247"/>
      <c r="F195" s="42"/>
      <c r="G195" s="42"/>
      <c r="H195" s="57"/>
      <c r="I195" s="341"/>
      <c r="J195" s="117"/>
      <c r="Q195" s="7"/>
      <c r="T195" s="9"/>
    </row>
    <row r="196" spans="1:20" ht="18.75" customHeight="1" x14ac:dyDescent="0.25">
      <c r="A196" s="239"/>
      <c r="B196" s="247"/>
      <c r="C196" s="247"/>
      <c r="D196" s="247"/>
      <c r="E196" s="247"/>
      <c r="F196" s="42"/>
      <c r="G196" s="42"/>
      <c r="H196" s="57"/>
      <c r="I196" s="341"/>
      <c r="J196" s="117"/>
      <c r="Q196" s="7"/>
      <c r="T196" s="9"/>
    </row>
    <row r="197" spans="1:20" ht="18.75" customHeight="1" x14ac:dyDescent="0.25">
      <c r="A197" s="239"/>
      <c r="B197" s="247"/>
      <c r="C197" s="247"/>
      <c r="D197" s="247"/>
      <c r="E197" s="247"/>
      <c r="F197" s="42"/>
      <c r="G197" s="42"/>
      <c r="H197" s="57"/>
      <c r="I197" s="341"/>
      <c r="J197" s="117"/>
      <c r="Q197" s="7"/>
      <c r="T197" s="9"/>
    </row>
    <row r="198" spans="1:20" ht="18.75" customHeight="1" x14ac:dyDescent="0.25">
      <c r="A198" s="239"/>
      <c r="B198" s="247"/>
      <c r="C198" s="247"/>
      <c r="D198" s="247"/>
      <c r="E198" s="247"/>
      <c r="F198" s="42"/>
      <c r="G198" s="42"/>
      <c r="H198" s="57"/>
      <c r="I198" s="341"/>
      <c r="J198" s="117"/>
      <c r="Q198" s="7"/>
      <c r="T198" s="9"/>
    </row>
    <row r="199" spans="1:20" ht="18.75" customHeight="1" x14ac:dyDescent="0.25">
      <c r="A199" s="239"/>
      <c r="B199" s="247"/>
      <c r="C199" s="247"/>
      <c r="D199" s="247"/>
      <c r="E199" s="247"/>
      <c r="F199" s="42"/>
      <c r="G199" s="42"/>
      <c r="H199" s="57"/>
      <c r="I199" s="341"/>
      <c r="J199" s="117"/>
      <c r="Q199" s="7"/>
      <c r="T199" s="9"/>
    </row>
    <row r="200" spans="1:20" ht="18.75" customHeight="1" x14ac:dyDescent="0.25">
      <c r="A200" s="239"/>
      <c r="B200" s="247"/>
      <c r="C200" s="247"/>
      <c r="D200" s="247"/>
      <c r="E200" s="247"/>
      <c r="F200" s="42"/>
      <c r="G200" s="42"/>
      <c r="H200" s="57"/>
      <c r="I200" s="341"/>
      <c r="J200" s="117"/>
      <c r="Q200" s="7"/>
      <c r="T200" s="9"/>
    </row>
    <row r="201" spans="1:20" ht="18.75" customHeight="1" x14ac:dyDescent="0.25">
      <c r="A201" s="239"/>
      <c r="B201" s="247" t="s">
        <v>172</v>
      </c>
      <c r="C201" s="247"/>
      <c r="D201" s="247"/>
      <c r="E201" s="247"/>
      <c r="F201" s="42"/>
      <c r="G201" s="57" t="s">
        <v>180</v>
      </c>
      <c r="H201" s="73">
        <f>(D61+D62+B60*C61)*10^6</f>
        <v>287500</v>
      </c>
      <c r="I201" s="248" t="s">
        <v>179</v>
      </c>
      <c r="J201" s="4"/>
      <c r="K201" s="1"/>
    </row>
    <row r="202" spans="1:20" ht="18.75" customHeight="1" x14ac:dyDescent="0.25">
      <c r="A202" s="239"/>
      <c r="B202" s="247" t="s">
        <v>170</v>
      </c>
      <c r="C202" s="247"/>
      <c r="D202" s="247"/>
      <c r="E202" s="247"/>
      <c r="F202" s="42"/>
      <c r="G202" s="57" t="s">
        <v>552</v>
      </c>
      <c r="H202" s="73">
        <f>H187*H201</f>
        <v>1270.5824974445775</v>
      </c>
      <c r="I202" s="248" t="s">
        <v>179</v>
      </c>
      <c r="J202" s="4"/>
      <c r="K202" s="1"/>
      <c r="L202" s="59"/>
      <c r="P202" s="72"/>
    </row>
    <row r="203" spans="1:20" ht="18.75" customHeight="1" x14ac:dyDescent="0.25">
      <c r="A203" s="239"/>
      <c r="B203" s="247" t="s">
        <v>173</v>
      </c>
      <c r="C203" s="247"/>
      <c r="D203" s="247"/>
      <c r="E203" s="247"/>
      <c r="F203" s="42"/>
      <c r="G203" s="57" t="s">
        <v>181</v>
      </c>
      <c r="H203" s="77">
        <f>EVEN(H202/H188)</f>
        <v>10</v>
      </c>
      <c r="I203" s="248" t="s">
        <v>133</v>
      </c>
      <c r="J203" s="4"/>
      <c r="K203" s="1"/>
      <c r="L203" s="59"/>
    </row>
    <row r="204" spans="1:20" ht="18.75" customHeight="1" x14ac:dyDescent="0.25">
      <c r="A204" s="239"/>
      <c r="B204" s="247"/>
      <c r="C204" s="247"/>
      <c r="D204" s="247"/>
      <c r="E204" s="247"/>
      <c r="F204" s="42"/>
      <c r="G204" s="247"/>
      <c r="H204" s="115"/>
      <c r="I204" s="248"/>
      <c r="J204" s="4"/>
      <c r="K204" s="1"/>
      <c r="L204" s="59"/>
      <c r="P204" s="71"/>
    </row>
    <row r="205" spans="1:20" ht="18.75" customHeight="1" x14ac:dyDescent="0.25">
      <c r="A205" s="239"/>
      <c r="B205" s="247" t="s">
        <v>174</v>
      </c>
      <c r="C205" s="247"/>
      <c r="D205" s="247"/>
      <c r="E205" s="247"/>
      <c r="F205" s="42"/>
      <c r="G205" s="57" t="s">
        <v>182</v>
      </c>
      <c r="H205" s="73">
        <f>(D57+D58+D59+C59*B60)*10^6</f>
        <v>208800</v>
      </c>
      <c r="I205" s="248" t="s">
        <v>179</v>
      </c>
      <c r="J205" s="4"/>
      <c r="K205" s="1"/>
      <c r="L205" s="59"/>
    </row>
    <row r="206" spans="1:20" ht="18.75" customHeight="1" x14ac:dyDescent="0.25">
      <c r="A206" s="239"/>
      <c r="B206" s="247" t="s">
        <v>175</v>
      </c>
      <c r="C206" s="247"/>
      <c r="D206" s="247"/>
      <c r="E206" s="247"/>
      <c r="F206" s="42"/>
      <c r="G206" s="57" t="s">
        <v>554</v>
      </c>
      <c r="H206" s="73">
        <f>H187*H205</f>
        <v>922.77434944844447</v>
      </c>
      <c r="I206" s="248" t="s">
        <v>179</v>
      </c>
      <c r="J206" s="4"/>
      <c r="K206" s="1"/>
      <c r="L206" s="59"/>
    </row>
    <row r="207" spans="1:20" ht="18.75" customHeight="1" x14ac:dyDescent="0.25">
      <c r="A207" s="239"/>
      <c r="B207" s="247" t="s">
        <v>173</v>
      </c>
      <c r="C207" s="247"/>
      <c r="D207" s="247"/>
      <c r="E207" s="247"/>
      <c r="F207" s="42"/>
      <c r="G207" s="57" t="s">
        <v>183</v>
      </c>
      <c r="H207" s="77">
        <f>EVEN(H206/H188)</f>
        <v>8</v>
      </c>
      <c r="I207" s="248" t="s">
        <v>133</v>
      </c>
      <c r="J207" s="4"/>
      <c r="K207" s="1"/>
      <c r="L207" s="59"/>
    </row>
    <row r="208" spans="1:20" ht="18.75" customHeight="1" x14ac:dyDescent="0.25">
      <c r="A208" s="239"/>
      <c r="B208" s="247"/>
      <c r="C208" s="247"/>
      <c r="D208" s="247"/>
      <c r="E208" s="247"/>
      <c r="F208" s="42"/>
      <c r="G208" s="247"/>
      <c r="H208" s="247"/>
      <c r="I208" s="248"/>
      <c r="J208" s="4"/>
      <c r="K208" s="1"/>
      <c r="L208" s="59"/>
    </row>
    <row r="209" spans="1:12" ht="18.75" customHeight="1" x14ac:dyDescent="0.25">
      <c r="A209" s="239"/>
      <c r="B209" s="247" t="s">
        <v>176</v>
      </c>
      <c r="C209" s="247"/>
      <c r="D209" s="247"/>
      <c r="E209" s="247"/>
      <c r="F209" s="42"/>
      <c r="G209" s="57" t="s">
        <v>184</v>
      </c>
      <c r="H209" s="73">
        <f>(C95-C94-C96)*B95*10^6</f>
        <v>256000.00000000006</v>
      </c>
      <c r="I209" s="248" t="s">
        <v>179</v>
      </c>
      <c r="J209" s="4"/>
      <c r="K209" s="1"/>
      <c r="L209" s="59"/>
    </row>
    <row r="210" spans="1:12" ht="18.75" customHeight="1" x14ac:dyDescent="0.25">
      <c r="A210" s="239"/>
      <c r="B210" s="247" t="s">
        <v>177</v>
      </c>
      <c r="C210" s="247"/>
      <c r="D210" s="247"/>
      <c r="E210" s="247"/>
      <c r="F210" s="42"/>
      <c r="G210" s="57" t="s">
        <v>553</v>
      </c>
      <c r="H210" s="73">
        <f>H187*H209</f>
        <v>1131.3708498984763</v>
      </c>
      <c r="I210" s="248" t="s">
        <v>179</v>
      </c>
      <c r="J210" s="4"/>
      <c r="K210" s="1"/>
      <c r="L210" s="59"/>
    </row>
    <row r="211" spans="1:12" ht="18.75" customHeight="1" x14ac:dyDescent="0.25">
      <c r="A211" s="239"/>
      <c r="B211" s="247" t="s">
        <v>173</v>
      </c>
      <c r="C211" s="247"/>
      <c r="D211" s="247"/>
      <c r="E211" s="247"/>
      <c r="F211" s="42"/>
      <c r="G211" s="57" t="s">
        <v>185</v>
      </c>
      <c r="H211" s="77">
        <f>EVEN(H210/H188)</f>
        <v>10</v>
      </c>
      <c r="I211" s="248" t="s">
        <v>133</v>
      </c>
      <c r="J211" s="4"/>
      <c r="K211" s="1"/>
    </row>
    <row r="212" spans="1:12" ht="18.75" customHeight="1" x14ac:dyDescent="0.25">
      <c r="A212" s="239"/>
      <c r="B212" s="42"/>
      <c r="C212" s="42"/>
      <c r="D212" s="42"/>
      <c r="E212" s="42"/>
      <c r="F212" s="115"/>
      <c r="G212" s="259"/>
      <c r="H212" s="31"/>
      <c r="I212" s="329"/>
      <c r="J212" s="4"/>
      <c r="K212" s="1"/>
    </row>
    <row r="213" spans="1:12" ht="18.75" customHeight="1" x14ac:dyDescent="0.25">
      <c r="A213" s="239" t="s">
        <v>1316</v>
      </c>
      <c r="B213" s="332" t="s">
        <v>625</v>
      </c>
      <c r="C213" s="42"/>
      <c r="D213" s="42"/>
      <c r="E213" s="42"/>
      <c r="F213" s="42"/>
      <c r="G213" s="42"/>
      <c r="H213" s="30"/>
      <c r="I213" s="243"/>
    </row>
    <row r="214" spans="1:12" ht="18.75" customHeight="1" x14ac:dyDescent="0.25">
      <c r="A214" s="239"/>
      <c r="B214" s="42"/>
      <c r="C214" s="42"/>
      <c r="D214" s="42"/>
      <c r="E214" s="42"/>
      <c r="F214" s="42"/>
      <c r="G214" s="42"/>
      <c r="H214" s="30"/>
      <c r="I214" s="243"/>
    </row>
    <row r="215" spans="1:12" ht="18.75" customHeight="1" x14ac:dyDescent="0.25">
      <c r="A215" s="239"/>
      <c r="B215" s="42"/>
      <c r="C215" s="42"/>
      <c r="D215" s="42"/>
      <c r="E215" s="42"/>
      <c r="F215" s="42"/>
      <c r="G215" s="42"/>
      <c r="H215" s="30"/>
      <c r="I215" s="243"/>
    </row>
    <row r="216" spans="1:12" ht="18.75" customHeight="1" x14ac:dyDescent="0.25">
      <c r="A216" s="239"/>
      <c r="B216" s="42"/>
      <c r="C216" s="42"/>
      <c r="D216" s="42"/>
      <c r="E216" s="42"/>
      <c r="F216" s="42"/>
      <c r="G216" s="42"/>
      <c r="H216" s="30"/>
      <c r="I216" s="243"/>
    </row>
    <row r="217" spans="1:12" ht="18.75" customHeight="1" x14ac:dyDescent="0.25">
      <c r="A217" s="239"/>
      <c r="B217" s="42"/>
      <c r="C217" s="42"/>
      <c r="D217" s="42"/>
      <c r="E217" s="42"/>
      <c r="F217" s="42"/>
      <c r="G217" s="42"/>
      <c r="H217" s="30"/>
      <c r="I217" s="243"/>
    </row>
    <row r="218" spans="1:12" ht="18.75" customHeight="1" x14ac:dyDescent="0.25">
      <c r="A218" s="239"/>
      <c r="B218" s="42"/>
      <c r="C218" s="42"/>
      <c r="D218" s="42"/>
      <c r="E218" s="42"/>
      <c r="F218" s="42"/>
      <c r="G218" s="42"/>
      <c r="H218" s="30"/>
      <c r="I218" s="243"/>
    </row>
    <row r="219" spans="1:12" ht="18.75" customHeight="1" x14ac:dyDescent="0.25">
      <c r="A219" s="239"/>
      <c r="B219" s="42"/>
      <c r="C219" s="42"/>
      <c r="D219" s="42"/>
      <c r="E219" s="42"/>
      <c r="F219" s="42"/>
      <c r="G219" s="42"/>
      <c r="H219" s="30"/>
      <c r="I219" s="243"/>
    </row>
    <row r="220" spans="1:12" ht="18.75" customHeight="1" x14ac:dyDescent="0.25">
      <c r="A220" s="239"/>
      <c r="B220" s="42"/>
      <c r="C220" s="42"/>
      <c r="D220" s="42"/>
      <c r="E220" s="42"/>
      <c r="F220" s="42"/>
      <c r="G220" s="42"/>
      <c r="H220" s="30"/>
      <c r="I220" s="243"/>
    </row>
    <row r="221" spans="1:12" ht="18.75" customHeight="1" x14ac:dyDescent="0.25">
      <c r="A221" s="239"/>
      <c r="B221" s="42"/>
      <c r="C221" s="42"/>
      <c r="D221" s="42"/>
      <c r="E221" s="42"/>
      <c r="F221" s="42"/>
      <c r="G221" s="42"/>
      <c r="H221" s="30"/>
      <c r="I221" s="243"/>
    </row>
    <row r="222" spans="1:12" ht="18.75" customHeight="1" x14ac:dyDescent="0.25">
      <c r="A222" s="239"/>
      <c r="B222" s="42"/>
      <c r="C222" s="42"/>
      <c r="D222" s="42"/>
      <c r="E222" s="42"/>
      <c r="F222" s="42"/>
      <c r="G222" s="42"/>
      <c r="H222" s="30"/>
      <c r="I222" s="243"/>
    </row>
    <row r="223" spans="1:12" ht="18.75" customHeight="1" x14ac:dyDescent="0.25">
      <c r="A223" s="239"/>
      <c r="B223" s="42"/>
      <c r="C223" s="42"/>
      <c r="D223" s="42"/>
      <c r="E223" s="42"/>
      <c r="F223" s="42"/>
      <c r="G223" s="42"/>
      <c r="H223" s="30"/>
      <c r="I223" s="243"/>
    </row>
    <row r="224" spans="1:12" ht="18.75" customHeight="1" x14ac:dyDescent="0.25">
      <c r="A224" s="239"/>
      <c r="B224" s="42"/>
      <c r="C224" s="42"/>
      <c r="D224" s="42"/>
      <c r="E224" s="42"/>
      <c r="F224" s="42"/>
      <c r="G224" s="42"/>
      <c r="H224" s="30"/>
      <c r="I224" s="243"/>
    </row>
    <row r="225" spans="1:13" ht="18.75" customHeight="1" x14ac:dyDescent="0.25">
      <c r="A225" s="239"/>
      <c r="B225" s="42"/>
      <c r="C225" s="42"/>
      <c r="D225" s="42"/>
      <c r="E225" s="42"/>
      <c r="F225" s="42"/>
      <c r="G225" s="42"/>
      <c r="H225" s="30"/>
      <c r="I225" s="243"/>
    </row>
    <row r="226" spans="1:13" ht="18.75" customHeight="1" x14ac:dyDescent="0.25">
      <c r="A226" s="239"/>
      <c r="B226" s="42"/>
      <c r="C226" s="42"/>
      <c r="D226" s="42"/>
      <c r="E226" s="42"/>
      <c r="F226" s="42"/>
      <c r="G226" s="42"/>
      <c r="H226" s="30"/>
      <c r="I226" s="243"/>
    </row>
    <row r="227" spans="1:13" ht="18.75" customHeight="1" x14ac:dyDescent="0.25">
      <c r="A227" s="239"/>
      <c r="B227" s="42"/>
      <c r="C227" s="42"/>
      <c r="D227" s="42"/>
      <c r="E227" s="42"/>
      <c r="F227" s="42"/>
      <c r="G227" s="42"/>
      <c r="H227" s="30"/>
      <c r="I227" s="243"/>
    </row>
    <row r="228" spans="1:13" ht="18.75" customHeight="1" x14ac:dyDescent="0.25">
      <c r="A228" s="239" t="s">
        <v>1317</v>
      </c>
      <c r="B228" s="332" t="s">
        <v>626</v>
      </c>
      <c r="C228" s="42"/>
      <c r="D228" s="42"/>
      <c r="E228" s="42"/>
      <c r="F228" s="42"/>
      <c r="G228" s="42"/>
      <c r="H228" s="30"/>
      <c r="I228" s="243"/>
    </row>
    <row r="229" spans="1:13" ht="18.75" customHeight="1" x14ac:dyDescent="0.25">
      <c r="A229" s="239"/>
      <c r="B229" s="247" t="s">
        <v>187</v>
      </c>
      <c r="C229" s="247"/>
      <c r="D229" s="247"/>
      <c r="E229" s="247"/>
      <c r="F229" s="57" t="s">
        <v>186</v>
      </c>
      <c r="G229" s="77">
        <f>'Input (1)'!H74</f>
        <v>0.16</v>
      </c>
      <c r="H229" s="259" t="s">
        <v>2</v>
      </c>
      <c r="I229" s="342"/>
      <c r="J229" s="59"/>
      <c r="K229" s="1"/>
      <c r="L229" s="105"/>
      <c r="M229" s="105"/>
    </row>
    <row r="230" spans="1:13" ht="18.75" customHeight="1" x14ac:dyDescent="0.25">
      <c r="A230" s="239"/>
      <c r="B230" s="247" t="s">
        <v>188</v>
      </c>
      <c r="C230" s="247"/>
      <c r="D230" s="298" t="s">
        <v>889</v>
      </c>
      <c r="E230" s="77">
        <v>1</v>
      </c>
      <c r="F230" s="78" t="s">
        <v>157</v>
      </c>
      <c r="G230" s="206" t="s">
        <v>924</v>
      </c>
      <c r="H230" s="77">
        <f>E230*'Input (1)'!R74</f>
        <v>11</v>
      </c>
      <c r="I230" s="78" t="s">
        <v>190</v>
      </c>
      <c r="J230" s="1"/>
      <c r="K230" s="1"/>
      <c r="L230" s="105"/>
      <c r="M230" s="105"/>
    </row>
    <row r="231" spans="1:13" ht="18.75" customHeight="1" x14ac:dyDescent="0.25">
      <c r="A231" s="239"/>
      <c r="B231" s="247" t="s">
        <v>189</v>
      </c>
      <c r="C231" s="247"/>
      <c r="D231" s="298" t="s">
        <v>890</v>
      </c>
      <c r="E231" s="77">
        <f>'Input (1)'!H72-1</f>
        <v>3</v>
      </c>
      <c r="F231" s="78" t="s">
        <v>157</v>
      </c>
      <c r="G231" s="206" t="s">
        <v>925</v>
      </c>
      <c r="H231" s="77">
        <f>E231*'Input (1)'!R75</f>
        <v>57</v>
      </c>
      <c r="I231" s="78" t="s">
        <v>190</v>
      </c>
      <c r="J231" s="1"/>
      <c r="K231" s="1"/>
      <c r="L231" s="105"/>
      <c r="M231" s="105"/>
    </row>
    <row r="232" spans="1:13" ht="18.75" customHeight="1" x14ac:dyDescent="0.25">
      <c r="A232" s="239"/>
      <c r="B232" s="247"/>
      <c r="C232" s="247"/>
      <c r="D232" s="298" t="s">
        <v>893</v>
      </c>
      <c r="E232" s="77">
        <f>SUM(E230:E231)</f>
        <v>4</v>
      </c>
      <c r="F232" s="78" t="s">
        <v>157</v>
      </c>
      <c r="G232" s="206" t="s">
        <v>162</v>
      </c>
      <c r="H232" s="77">
        <f>SUM(H230:H231)</f>
        <v>68</v>
      </c>
      <c r="I232" s="78" t="s">
        <v>190</v>
      </c>
      <c r="J232" s="1"/>
      <c r="K232" s="1"/>
      <c r="L232" s="105"/>
      <c r="M232" s="105"/>
    </row>
    <row r="233" spans="1:13" ht="18.75" customHeight="1" x14ac:dyDescent="0.25">
      <c r="A233" s="239"/>
      <c r="B233" s="42"/>
      <c r="C233" s="42"/>
      <c r="D233" s="42"/>
      <c r="E233" s="30"/>
      <c r="F233" s="31"/>
      <c r="G233" s="32"/>
      <c r="H233" s="33"/>
      <c r="I233" s="315"/>
      <c r="J233" s="119"/>
      <c r="K233" s="34"/>
      <c r="L233" s="32"/>
    </row>
    <row r="234" spans="1:13" ht="18.75" customHeight="1" x14ac:dyDescent="0.25">
      <c r="A234" s="239"/>
      <c r="B234" s="42" t="s">
        <v>191</v>
      </c>
      <c r="C234" s="42"/>
      <c r="D234" s="42"/>
      <c r="E234" s="42"/>
      <c r="F234" s="42"/>
      <c r="G234" s="30" t="s">
        <v>204</v>
      </c>
      <c r="H234" s="67">
        <f>H148</f>
        <v>0.81195046302450269</v>
      </c>
      <c r="I234" s="244" t="s">
        <v>2</v>
      </c>
      <c r="J234" s="4"/>
      <c r="K234" s="1"/>
    </row>
    <row r="235" spans="1:13" ht="18.75" customHeight="1" x14ac:dyDescent="0.25">
      <c r="A235" s="239"/>
      <c r="B235" s="42" t="s">
        <v>192</v>
      </c>
      <c r="C235" s="42"/>
      <c r="D235" s="42"/>
      <c r="E235" s="42"/>
      <c r="F235" s="42"/>
      <c r="G235" s="30" t="s">
        <v>895</v>
      </c>
      <c r="H235" s="67">
        <f>H67-H234</f>
        <v>0.19999999999999996</v>
      </c>
      <c r="I235" s="244" t="s">
        <v>2</v>
      </c>
      <c r="J235" s="4"/>
      <c r="K235" s="1"/>
    </row>
    <row r="236" spans="1:13" ht="18.75" customHeight="1" x14ac:dyDescent="0.25">
      <c r="A236" s="239"/>
      <c r="B236" s="42" t="s">
        <v>193</v>
      </c>
      <c r="C236" s="42"/>
      <c r="D236" s="42"/>
      <c r="E236" s="42"/>
      <c r="F236" s="42"/>
      <c r="G236" s="30" t="s">
        <v>898</v>
      </c>
      <c r="H236" s="207">
        <f>ROUNDUP(H232*(H235-G229)/H230*100,0)*10</f>
        <v>250</v>
      </c>
      <c r="I236" s="244" t="s">
        <v>5</v>
      </c>
      <c r="J236" s="4"/>
      <c r="K236" s="1"/>
    </row>
    <row r="237" spans="1:13" ht="18.75" customHeight="1" x14ac:dyDescent="0.25">
      <c r="A237" s="239"/>
      <c r="B237" s="42" t="s">
        <v>194</v>
      </c>
      <c r="C237" s="42"/>
      <c r="D237" s="42"/>
      <c r="E237" s="42"/>
      <c r="F237" s="42"/>
      <c r="G237" s="30" t="s">
        <v>896</v>
      </c>
      <c r="H237" s="77">
        <f>MAX('Input (1)'!V74:V77)</f>
        <v>87</v>
      </c>
      <c r="I237" s="244" t="s">
        <v>5</v>
      </c>
      <c r="J237" s="4"/>
      <c r="K237" s="1"/>
    </row>
    <row r="238" spans="1:13" ht="18.75" customHeight="1" x14ac:dyDescent="0.25">
      <c r="A238" s="239"/>
      <c r="B238" s="42" t="s">
        <v>195</v>
      </c>
      <c r="C238" s="42"/>
      <c r="D238" s="42"/>
      <c r="E238" s="42"/>
      <c r="F238" s="42"/>
      <c r="G238" s="30" t="s">
        <v>897</v>
      </c>
      <c r="H238" s="207">
        <f>H236-H237</f>
        <v>163</v>
      </c>
      <c r="I238" s="244" t="s">
        <v>5</v>
      </c>
      <c r="J238" s="4"/>
      <c r="K238" s="1"/>
    </row>
    <row r="239" spans="1:13" ht="18.75" customHeight="1" x14ac:dyDescent="0.25">
      <c r="A239" s="239"/>
      <c r="B239" s="42" t="s">
        <v>921</v>
      </c>
      <c r="C239" s="42"/>
      <c r="D239" s="42"/>
      <c r="E239" s="42"/>
      <c r="F239" s="42"/>
      <c r="G239" s="30"/>
      <c r="H239" s="31"/>
      <c r="I239" s="244"/>
      <c r="J239" s="4"/>
      <c r="K239" s="1"/>
    </row>
    <row r="240" spans="1:13" ht="18.75" customHeight="1" x14ac:dyDescent="0.25">
      <c r="A240" s="239"/>
      <c r="B240" s="42" t="s">
        <v>429</v>
      </c>
      <c r="C240" s="31" t="s">
        <v>922</v>
      </c>
      <c r="D240" s="115" t="s">
        <v>532</v>
      </c>
      <c r="E240" s="296">
        <v>25</v>
      </c>
      <c r="F240" s="42"/>
      <c r="G240" s="247"/>
      <c r="H240" s="57"/>
      <c r="I240" s="338"/>
      <c r="J240" s="4"/>
      <c r="K240" s="1"/>
    </row>
    <row r="241" spans="1:13" ht="18.75" customHeight="1" x14ac:dyDescent="0.25">
      <c r="A241" s="239"/>
      <c r="B241" s="42"/>
      <c r="C241" s="297">
        <f>H238</f>
        <v>163</v>
      </c>
      <c r="D241" s="115" t="s">
        <v>532</v>
      </c>
      <c r="E241" s="297">
        <v>25</v>
      </c>
      <c r="F241" s="42"/>
      <c r="G241" s="339" t="s">
        <v>363</v>
      </c>
      <c r="H241" s="439" t="str">
        <f>IF(C241&gt;E241,"[ OK ]","[ NOT OK ]")</f>
        <v>[ OK ]</v>
      </c>
      <c r="I241" s="43"/>
    </row>
    <row r="242" spans="1:13" ht="18.75" customHeight="1" x14ac:dyDescent="0.25">
      <c r="A242" s="239"/>
      <c r="B242" s="42"/>
      <c r="C242" s="294"/>
      <c r="D242" s="115"/>
      <c r="E242" s="295"/>
      <c r="F242" s="42"/>
      <c r="G242" s="247"/>
      <c r="H242" s="339"/>
      <c r="I242" s="343"/>
    </row>
    <row r="243" spans="1:13" ht="18.75" customHeight="1" x14ac:dyDescent="0.25">
      <c r="A243" s="239" t="s">
        <v>1318</v>
      </c>
      <c r="B243" s="332" t="s">
        <v>627</v>
      </c>
      <c r="C243" s="42"/>
      <c r="D243" s="42"/>
      <c r="E243" s="42"/>
      <c r="F243" s="42"/>
      <c r="G243" s="42"/>
      <c r="H243" s="30"/>
      <c r="I243" s="243"/>
    </row>
    <row r="244" spans="1:13" ht="18.75" customHeight="1" x14ac:dyDescent="0.25">
      <c r="A244" s="239"/>
      <c r="B244" s="247" t="s">
        <v>187</v>
      </c>
      <c r="C244" s="247"/>
      <c r="D244" s="247"/>
      <c r="E244" s="247"/>
      <c r="F244" s="57" t="s">
        <v>203</v>
      </c>
      <c r="G244" s="77">
        <f>'Input (1)'!H75</f>
        <v>0.45</v>
      </c>
      <c r="H244" s="259" t="s">
        <v>2</v>
      </c>
      <c r="I244" s="43"/>
      <c r="J244" s="65"/>
      <c r="K244" s="59"/>
      <c r="M244" s="105"/>
    </row>
    <row r="245" spans="1:13" ht="18.75" customHeight="1" x14ac:dyDescent="0.25">
      <c r="A245" s="239"/>
      <c r="B245" s="247" t="s">
        <v>188</v>
      </c>
      <c r="C245" s="247"/>
      <c r="D245" s="298" t="s">
        <v>889</v>
      </c>
      <c r="E245" s="77">
        <f>IF('Input (1)'!R74="","-",1)</f>
        <v>1</v>
      </c>
      <c r="F245" s="78" t="s">
        <v>157</v>
      </c>
      <c r="G245" s="206" t="s">
        <v>924</v>
      </c>
      <c r="H245" s="77">
        <f>IF(E245=1,E245*'Input (1)'!R74,"-")</f>
        <v>11</v>
      </c>
      <c r="I245" s="78" t="s">
        <v>190</v>
      </c>
      <c r="J245" s="1"/>
      <c r="K245" s="59"/>
    </row>
    <row r="246" spans="1:13" ht="18.75" customHeight="1" x14ac:dyDescent="0.25">
      <c r="A246" s="239"/>
      <c r="B246" s="247" t="s">
        <v>189</v>
      </c>
      <c r="C246" s="247"/>
      <c r="D246" s="298" t="s">
        <v>890</v>
      </c>
      <c r="E246" s="77">
        <f>IF('Input (1)'!R75="","-",1)</f>
        <v>1</v>
      </c>
      <c r="F246" s="78" t="s">
        <v>157</v>
      </c>
      <c r="G246" s="206" t="s">
        <v>925</v>
      </c>
      <c r="H246" s="77">
        <f>IF(E246=1,E246*'Input (1)'!R75,"-")</f>
        <v>19</v>
      </c>
      <c r="I246" s="78" t="s">
        <v>190</v>
      </c>
      <c r="J246" s="1"/>
      <c r="K246" s="59"/>
    </row>
    <row r="247" spans="1:13" ht="18.75" customHeight="1" x14ac:dyDescent="0.25">
      <c r="A247" s="239"/>
      <c r="B247" s="247" t="str">
        <f>IF('Input (1)'!H72&lt;3,"","Jumlah tendon baris ke-3 :")</f>
        <v>Jumlah tendon baris ke-3 :</v>
      </c>
      <c r="C247" s="247"/>
      <c r="D247" s="298" t="s">
        <v>891</v>
      </c>
      <c r="E247" s="77">
        <f>IF('Input (1)'!R76="","-",1)</f>
        <v>1</v>
      </c>
      <c r="F247" s="78" t="s">
        <v>157</v>
      </c>
      <c r="G247" s="206" t="s">
        <v>926</v>
      </c>
      <c r="H247" s="77">
        <f>IF(E247=1,E247*'Input (1)'!R76,"-")</f>
        <v>19</v>
      </c>
      <c r="I247" s="78" t="s">
        <v>190</v>
      </c>
      <c r="J247" s="1"/>
      <c r="K247" s="59"/>
    </row>
    <row r="248" spans="1:13" ht="18.75" customHeight="1" x14ac:dyDescent="0.25">
      <c r="A248" s="239"/>
      <c r="B248" s="247" t="str">
        <f>IF('Input (1)'!H72&lt;4,"","Jumlah tendon baris ke-4 :")</f>
        <v>Jumlah tendon baris ke-4 :</v>
      </c>
      <c r="C248" s="247"/>
      <c r="D248" s="298" t="s">
        <v>892</v>
      </c>
      <c r="E248" s="77">
        <f>IF('Input (1)'!R77="","-",1)</f>
        <v>1</v>
      </c>
      <c r="F248" s="78" t="s">
        <v>157</v>
      </c>
      <c r="G248" s="206" t="s">
        <v>927</v>
      </c>
      <c r="H248" s="77">
        <f>IF(E248=1,E248*'Input (1)'!R77,"-")</f>
        <v>19</v>
      </c>
      <c r="I248" s="78" t="s">
        <v>190</v>
      </c>
      <c r="J248" s="1"/>
      <c r="K248" s="59"/>
    </row>
    <row r="249" spans="1:13" ht="18.75" customHeight="1" x14ac:dyDescent="0.25">
      <c r="A249" s="239"/>
      <c r="B249" s="247"/>
      <c r="C249" s="247"/>
      <c r="D249" s="298" t="s">
        <v>893</v>
      </c>
      <c r="E249" s="77">
        <f>SUM(E245:E248)</f>
        <v>4</v>
      </c>
      <c r="F249" s="78" t="s">
        <v>157</v>
      </c>
      <c r="G249" s="206" t="s">
        <v>162</v>
      </c>
      <c r="H249" s="77">
        <f>SUM(H245:H248)</f>
        <v>68</v>
      </c>
      <c r="I249" s="78" t="s">
        <v>190</v>
      </c>
      <c r="J249" s="1"/>
      <c r="K249" s="59"/>
    </row>
    <row r="250" spans="1:13" ht="18.75" customHeight="1" x14ac:dyDescent="0.25">
      <c r="A250" s="239"/>
      <c r="B250" s="42"/>
      <c r="C250" s="42"/>
      <c r="D250" s="42"/>
      <c r="E250" s="42"/>
      <c r="F250" s="42"/>
      <c r="G250" s="42"/>
      <c r="H250" s="30"/>
      <c r="I250" s="243"/>
    </row>
    <row r="251" spans="1:13" ht="18.75" customHeight="1" x14ac:dyDescent="0.25">
      <c r="A251" s="239"/>
      <c r="B251" s="42" t="s">
        <v>197</v>
      </c>
      <c r="C251" s="42"/>
      <c r="D251" s="42"/>
      <c r="E251" s="42"/>
      <c r="F251" s="42"/>
      <c r="G251" s="42"/>
      <c r="H251" s="30"/>
      <c r="I251" s="243"/>
    </row>
    <row r="252" spans="1:13" ht="18.75" customHeight="1" x14ac:dyDescent="0.25">
      <c r="A252" s="239"/>
      <c r="B252" s="42"/>
      <c r="C252" s="207" t="s">
        <v>894</v>
      </c>
      <c r="D252" s="207" t="s">
        <v>899</v>
      </c>
      <c r="E252" s="207" t="s">
        <v>900</v>
      </c>
      <c r="F252" s="42"/>
      <c r="G252" s="42"/>
      <c r="H252" s="30"/>
      <c r="I252" s="243"/>
    </row>
    <row r="253" spans="1:13" ht="18.75" customHeight="1" x14ac:dyDescent="0.25">
      <c r="A253" s="239"/>
      <c r="B253" s="42"/>
      <c r="C253" s="207">
        <f>IF('Input (1)'!H72=2,"-",IF('Input (1)'!H72=3,"-",IF('Input (1)'!H72=4,'Input (1)'!R74,"[ EROR ]")))</f>
        <v>11</v>
      </c>
      <c r="D253" s="189">
        <v>3</v>
      </c>
      <c r="E253" s="207">
        <f>IF(C253="-","-",C253*D253)</f>
        <v>33</v>
      </c>
      <c r="F253" s="42"/>
      <c r="G253" s="42"/>
      <c r="H253" s="30"/>
      <c r="I253" s="243"/>
    </row>
    <row r="254" spans="1:13" ht="18.75" customHeight="1" x14ac:dyDescent="0.25">
      <c r="A254" s="239"/>
      <c r="B254" s="42"/>
      <c r="C254" s="207">
        <f>IF('Input (1)'!H72=2,"-",IF('Input (1)'!H72=3,'Input (1)'!R74,IF('Input (1)'!H72=4,'Input (1)'!R75,"[ EROR ]")))</f>
        <v>19</v>
      </c>
      <c r="D254" s="189">
        <v>2</v>
      </c>
      <c r="E254" s="207">
        <f>IF(C254="-","-",C254*D254)</f>
        <v>38</v>
      </c>
      <c r="F254" s="42"/>
      <c r="G254" s="42"/>
      <c r="H254" s="30"/>
      <c r="I254" s="243"/>
    </row>
    <row r="255" spans="1:13" ht="18.75" customHeight="1" x14ac:dyDescent="0.25">
      <c r="A255" s="239"/>
      <c r="B255" s="42"/>
      <c r="C255" s="207">
        <f>IF('Input (1)'!H72=2,'Input (1)'!R74,IF('Input (1)'!H72=3,'Input (1)'!R75,IF('Input (1)'!H72=4,'Input (1)'!R76,"[ EROR ]")))</f>
        <v>19</v>
      </c>
      <c r="D255" s="189">
        <v>1</v>
      </c>
      <c r="E255" s="207">
        <f t="shared" ref="E255:E256" si="9">C255*D255</f>
        <v>19</v>
      </c>
      <c r="F255" s="42"/>
      <c r="G255" s="42"/>
      <c r="H255" s="30"/>
      <c r="I255" s="243"/>
    </row>
    <row r="256" spans="1:13" ht="18.75" customHeight="1" x14ac:dyDescent="0.25">
      <c r="A256" s="239"/>
      <c r="B256" s="42"/>
      <c r="C256" s="207">
        <f>IF('Input (1)'!H72=2,'Input (1)'!R75,IF('Input (1)'!H72=3,'Input (1)'!R76,IF('Input (1)'!H72=4,'Input (1)'!R77,"[ EROR ]")))</f>
        <v>19</v>
      </c>
      <c r="D256" s="189">
        <v>0</v>
      </c>
      <c r="E256" s="207">
        <f t="shared" si="9"/>
        <v>0</v>
      </c>
      <c r="F256" s="42"/>
      <c r="G256" s="42"/>
      <c r="H256" s="30"/>
      <c r="I256" s="243"/>
    </row>
    <row r="257" spans="1:22" ht="18.75" customHeight="1" x14ac:dyDescent="0.25">
      <c r="A257" s="239"/>
      <c r="B257" s="42"/>
      <c r="C257" s="619" t="s">
        <v>901</v>
      </c>
      <c r="D257" s="619"/>
      <c r="E257" s="207">
        <f>SUM(E253:E256)</f>
        <v>90</v>
      </c>
      <c r="F257" s="42"/>
      <c r="G257" s="42"/>
      <c r="H257" s="30"/>
      <c r="I257" s="243"/>
    </row>
    <row r="258" spans="1:22" ht="18.75" customHeight="1" x14ac:dyDescent="0.25">
      <c r="A258" s="239"/>
      <c r="B258" s="42"/>
      <c r="C258" s="35"/>
      <c r="D258" s="35"/>
      <c r="E258" s="31"/>
      <c r="F258" s="42"/>
      <c r="G258" s="42"/>
      <c r="H258" s="30"/>
      <c r="I258" s="243"/>
    </row>
    <row r="259" spans="1:22" ht="18.75" customHeight="1" x14ac:dyDescent="0.25">
      <c r="A259" s="239"/>
      <c r="B259" s="42" t="s">
        <v>196</v>
      </c>
      <c r="C259" s="42"/>
      <c r="D259" s="42"/>
      <c r="E259" s="42"/>
      <c r="F259" s="42"/>
      <c r="G259" s="30" t="s">
        <v>150</v>
      </c>
      <c r="H259" s="67">
        <f>H67</f>
        <v>1.0119504630245026</v>
      </c>
      <c r="I259" s="244" t="s">
        <v>2</v>
      </c>
      <c r="J259" s="4"/>
      <c r="K259" s="1"/>
    </row>
    <row r="260" spans="1:22" ht="18.75" customHeight="1" x14ac:dyDescent="0.25">
      <c r="A260" s="239"/>
      <c r="B260" s="42" t="s">
        <v>198</v>
      </c>
      <c r="C260" s="42"/>
      <c r="D260" s="42"/>
      <c r="E260" s="42"/>
      <c r="F260" s="42"/>
      <c r="G260" s="30" t="s">
        <v>902</v>
      </c>
      <c r="H260" s="67">
        <f>H259-G244</f>
        <v>0.56195046302450269</v>
      </c>
      <c r="I260" s="244" t="s">
        <v>2</v>
      </c>
      <c r="J260" s="4"/>
      <c r="K260" s="1"/>
    </row>
    <row r="261" spans="1:22" ht="18.75" customHeight="1" x14ac:dyDescent="0.25">
      <c r="A261" s="239"/>
      <c r="B261" s="42" t="s">
        <v>199</v>
      </c>
      <c r="C261" s="42"/>
      <c r="D261" s="42"/>
      <c r="E261" s="42"/>
      <c r="F261" s="42"/>
      <c r="G261" s="30" t="s">
        <v>903</v>
      </c>
      <c r="H261" s="67">
        <f>E257/H249</f>
        <v>1.3235294117647058</v>
      </c>
      <c r="I261" s="244"/>
      <c r="J261" s="4"/>
      <c r="K261" s="1"/>
    </row>
    <row r="262" spans="1:22" ht="18.75" customHeight="1" x14ac:dyDescent="0.25">
      <c r="A262" s="239"/>
      <c r="B262" s="42" t="s">
        <v>200</v>
      </c>
      <c r="C262" s="42"/>
      <c r="D262" s="42"/>
      <c r="E262" s="42"/>
      <c r="F262" s="42"/>
      <c r="G262" s="30" t="s">
        <v>904</v>
      </c>
      <c r="H262" s="207">
        <f>ROUNDUP(H260/H261*100,0)*10</f>
        <v>430</v>
      </c>
      <c r="I262" s="244" t="s">
        <v>5</v>
      </c>
      <c r="J262" s="4"/>
      <c r="K262" s="1"/>
    </row>
    <row r="263" spans="1:22" ht="18.75" customHeight="1" x14ac:dyDescent="0.25">
      <c r="A263" s="239"/>
      <c r="B263" s="42" t="s">
        <v>192</v>
      </c>
      <c r="C263" s="42"/>
      <c r="D263" s="42"/>
      <c r="E263" s="42"/>
      <c r="F263" s="42"/>
      <c r="G263" s="30" t="s">
        <v>905</v>
      </c>
      <c r="H263" s="207">
        <f>G244*1000+H262</f>
        <v>880</v>
      </c>
      <c r="I263" s="244" t="s">
        <v>5</v>
      </c>
      <c r="J263" s="4"/>
      <c r="K263" s="59"/>
    </row>
    <row r="264" spans="1:22" ht="18.75" customHeight="1" x14ac:dyDescent="0.25">
      <c r="A264" s="239"/>
      <c r="B264" s="42" t="s">
        <v>921</v>
      </c>
      <c r="C264" s="42"/>
      <c r="D264" s="42"/>
      <c r="E264" s="42"/>
      <c r="F264" s="42"/>
      <c r="G264" s="31"/>
      <c r="H264" s="32"/>
      <c r="I264" s="329"/>
      <c r="J264" s="4"/>
      <c r="K264" s="1"/>
    </row>
    <row r="265" spans="1:22" ht="18.75" customHeight="1" x14ac:dyDescent="0.25">
      <c r="A265" s="239"/>
      <c r="B265" s="42" t="s">
        <v>429</v>
      </c>
      <c r="C265" s="31" t="s">
        <v>923</v>
      </c>
      <c r="D265" s="115" t="s">
        <v>532</v>
      </c>
      <c r="E265" s="296">
        <v>25</v>
      </c>
      <c r="F265" s="42"/>
      <c r="G265" s="57"/>
      <c r="H265" s="112"/>
      <c r="I265" s="329"/>
      <c r="J265" s="4"/>
      <c r="K265" s="1"/>
    </row>
    <row r="266" spans="1:22" ht="18.75" customHeight="1" x14ac:dyDescent="0.25">
      <c r="A266" s="239"/>
      <c r="B266" s="42"/>
      <c r="C266" s="297">
        <f>H262</f>
        <v>430</v>
      </c>
      <c r="D266" s="115" t="s">
        <v>532</v>
      </c>
      <c r="E266" s="297">
        <v>25</v>
      </c>
      <c r="F266" s="42"/>
      <c r="G266" s="339" t="s">
        <v>363</v>
      </c>
      <c r="H266" s="439" t="str">
        <f>IF(C266&gt;E266,"[ OK ]","[ NOT OK ]")</f>
        <v>[ OK ]</v>
      </c>
      <c r="I266" s="329"/>
      <c r="J266" s="4"/>
      <c r="K266" s="1"/>
    </row>
    <row r="267" spans="1:22" ht="18.75" customHeight="1" x14ac:dyDescent="0.25">
      <c r="A267" s="241"/>
      <c r="B267" s="45"/>
      <c r="C267" s="45"/>
      <c r="D267" s="45"/>
      <c r="E267" s="45"/>
      <c r="F267" s="45"/>
      <c r="G267" s="45"/>
      <c r="H267" s="264"/>
      <c r="I267" s="265"/>
      <c r="O267" s="63" t="s">
        <v>1319</v>
      </c>
      <c r="P267" s="154" t="s">
        <v>627</v>
      </c>
    </row>
    <row r="268" spans="1:22" ht="37.5" customHeight="1" x14ac:dyDescent="0.25">
      <c r="P268" s="620" t="s">
        <v>201</v>
      </c>
      <c r="Q268" s="37" t="s">
        <v>202</v>
      </c>
      <c r="R268" s="36" t="s">
        <v>906</v>
      </c>
      <c r="S268" s="620" t="s">
        <v>201</v>
      </c>
      <c r="T268" s="37" t="s">
        <v>987</v>
      </c>
      <c r="U268" s="36" t="s">
        <v>907</v>
      </c>
      <c r="V268" s="36" t="s">
        <v>908</v>
      </c>
    </row>
    <row r="269" spans="1:22" ht="18.75" customHeight="1" x14ac:dyDescent="0.25">
      <c r="P269" s="620"/>
      <c r="Q269" s="36" t="s">
        <v>624</v>
      </c>
      <c r="R269" s="36" t="s">
        <v>46</v>
      </c>
      <c r="S269" s="620"/>
      <c r="T269" s="161">
        <f>0.5*'Input (1)'!H24</f>
        <v>20</v>
      </c>
      <c r="U269" s="36" t="s">
        <v>46</v>
      </c>
      <c r="V269" s="36" t="s">
        <v>46</v>
      </c>
    </row>
    <row r="270" spans="1:22" ht="18.75" customHeight="1" x14ac:dyDescent="0.25">
      <c r="P270" s="13">
        <f>IF('Input (1)'!H72=2,"",IF('Input (1)'!H72=3,"",IF('Input (1)'!H72=4,1,"[ EROR ]")))</f>
        <v>1</v>
      </c>
      <c r="Q270" s="29" t="str">
        <f>IF('Input (1)'!H72=2,"",IF('Input (1)'!H72=3,"",IF('Input (1)'!H72=4,"z1' = a' + 3 * yd'","[ EROR ]")))</f>
        <v>z1' = a' + 3 * yd'</v>
      </c>
      <c r="R270" s="6">
        <f>IF(C253="-","",G244+3*H262/1000)</f>
        <v>1.74</v>
      </c>
      <c r="S270" s="13">
        <f>P270</f>
        <v>1</v>
      </c>
      <c r="T270" s="29" t="str">
        <f>IF('Input (1)'!H72=2,"",IF('Input (1)'!H72=3,"",IF('Input (1)'!H72=4,"z1 = a + yd","[ EROR ]")))</f>
        <v>z1 = a + yd</v>
      </c>
      <c r="U270" s="12">
        <f>IF('Input (1)'!H72&lt;4,"",IF('Input (1)'!H72=4,U271+'Process (2)'!H236/1000,"[ EROR ]"))</f>
        <v>0.41000000000000003</v>
      </c>
      <c r="V270" s="12">
        <f>IF(U270="","",R270-U270)</f>
        <v>1.33</v>
      </c>
    </row>
    <row r="271" spans="1:22" ht="18.75" customHeight="1" x14ac:dyDescent="0.25">
      <c r="P271" s="13">
        <f>IF('Input (1)'!H72=2,"",IF('Input (1)'!H72=3,1,IF('Input (1)'!H72=4,2,"[ EROR ]")))</f>
        <v>2</v>
      </c>
      <c r="Q271" s="29" t="str">
        <f>IF('Input (1)'!H72=2,"",IF('Input (1)'!H72=3,"z1' = a' + 2 * yd'",IF('Input (1)'!H72=4,"z2' = a' + 2 * yd'","[ EROR ]")))</f>
        <v>z2' = a' + 2 * yd'</v>
      </c>
      <c r="R271" s="6">
        <f>IF(C254="-","",G244+2*H262/1000)</f>
        <v>1.31</v>
      </c>
      <c r="S271" s="13">
        <f t="shared" ref="S271:S273" si="10">P271</f>
        <v>2</v>
      </c>
      <c r="T271" s="29" t="str">
        <f>IF('Input (1)'!H72=2,"",IF('Input (1)'!H72=3,"z1 = a + yd",IF('Input (1)'!H72=4,"z2 = a","[ EROR ]")))</f>
        <v>z2 = a</v>
      </c>
      <c r="U271" s="12">
        <f>IF('Input (1)'!H72&lt;3,"",IF('Input (1)'!H72=3,U273+'Process (2)'!H236/1000,IF('Input (1)'!H72&gt;3,U273,"[ EROR ]")))</f>
        <v>0.16</v>
      </c>
      <c r="V271" s="12">
        <f>IF(U271="","",R271-U271)</f>
        <v>1.1500000000000001</v>
      </c>
    </row>
    <row r="272" spans="1:22" ht="18.75" customHeight="1" x14ac:dyDescent="0.25">
      <c r="P272" s="13">
        <f>IF('Input (1)'!H72=2,1,IF('Input (1)'!H72=3,2,IF('Input (1)'!H72=4,3,"[ EROR ]")))</f>
        <v>3</v>
      </c>
      <c r="Q272" s="29" t="str">
        <f>IF('Input (1)'!H72=2,"z1' = a' + yd'",IF('Input (1)'!H72=3,"z2' = a' + yd'",IF('Input (1)'!H72=4,"z3' = a' + yd'","[ EROR ]")))</f>
        <v>z3' = a' + yd'</v>
      </c>
      <c r="R272" s="6">
        <f>R273+H262/1000</f>
        <v>0.88</v>
      </c>
      <c r="S272" s="13">
        <f t="shared" si="10"/>
        <v>3</v>
      </c>
      <c r="T272" s="29" t="str">
        <f>IF('Input (1)'!H72=2,"z1 = a + yd",IF('Input (1)'!H72=3,"z2 = a",IF('Input (1)'!H72=4,"z3 = a","[ EROR ]")))</f>
        <v>z3 = a</v>
      </c>
      <c r="U272" s="12">
        <f>IF('Input (1)'!H72=2,U273+'Process (2)'!H236/1000,IF('Input (1)'!H72&gt;2,U273,"[ EROR ]"))</f>
        <v>0.16</v>
      </c>
      <c r="V272" s="6">
        <f>R272-U272</f>
        <v>0.72</v>
      </c>
    </row>
    <row r="273" spans="13:22" ht="18.75" customHeight="1" x14ac:dyDescent="0.25">
      <c r="M273" s="59"/>
      <c r="P273" s="13">
        <f>IF('Input (1)'!H72=2,2,IF('Input (1)'!H72=3,3,IF('Input (1)'!H72=4,4,"[ EROR ]")))</f>
        <v>4</v>
      </c>
      <c r="Q273" s="29" t="str">
        <f>IF('Input (1)'!H72=2,"z2' = a'",IF('Input (1)'!H72=3,"z3' = a'",IF('Input (1)'!H72=4,"z4' = a'","[ EROR ]")))</f>
        <v>z4' = a'</v>
      </c>
      <c r="R273" s="6">
        <f>G244</f>
        <v>0.45</v>
      </c>
      <c r="S273" s="13">
        <f t="shared" si="10"/>
        <v>4</v>
      </c>
      <c r="T273" s="29" t="str">
        <f>IF('Input (1)'!H72=2,"z2 = a",IF('Input (1)'!H72=3,"z3 = a",IF('Input (1)'!H72=4,"z4 = a","[ EROR ]")))</f>
        <v>z4 = a</v>
      </c>
      <c r="U273" s="12">
        <f>G229</f>
        <v>0.16</v>
      </c>
      <c r="V273" s="6">
        <f>R273-U273</f>
        <v>0.29000000000000004</v>
      </c>
    </row>
    <row r="274" spans="13:22" ht="18.75" customHeight="1" x14ac:dyDescent="0.25">
      <c r="P274" s="38"/>
      <c r="Q274" s="39"/>
      <c r="R274" s="40"/>
      <c r="S274" s="38"/>
      <c r="T274" s="39"/>
      <c r="U274" s="39"/>
      <c r="V274" s="40"/>
    </row>
    <row r="275" spans="13:22" ht="18.75" customHeight="1" x14ac:dyDescent="0.25">
      <c r="P275" s="41"/>
      <c r="Q275" s="42"/>
      <c r="R275" s="43"/>
      <c r="S275" s="41"/>
      <c r="T275" s="42"/>
      <c r="U275" s="42"/>
      <c r="V275" s="43"/>
    </row>
    <row r="276" spans="13:22" ht="18.75" customHeight="1" x14ac:dyDescent="0.25">
      <c r="P276" s="41"/>
      <c r="Q276" s="42"/>
      <c r="R276" s="43"/>
      <c r="S276" s="41"/>
      <c r="T276" s="42"/>
      <c r="U276" s="42"/>
      <c r="V276" s="43"/>
    </row>
    <row r="277" spans="13:22" ht="18.75" customHeight="1" x14ac:dyDescent="0.25">
      <c r="P277" s="41"/>
      <c r="Q277" s="42"/>
      <c r="R277" s="43"/>
      <c r="S277" s="41"/>
      <c r="T277" s="42"/>
      <c r="U277" s="42"/>
      <c r="V277" s="43"/>
    </row>
    <row r="278" spans="13:22" ht="18.75" customHeight="1" x14ac:dyDescent="0.25">
      <c r="P278" s="41"/>
      <c r="Q278" s="42"/>
      <c r="R278" s="43"/>
      <c r="S278" s="41"/>
      <c r="T278" s="42"/>
      <c r="U278" s="42"/>
      <c r="V278" s="43"/>
    </row>
    <row r="279" spans="13:22" ht="18.75" customHeight="1" x14ac:dyDescent="0.25">
      <c r="P279" s="41"/>
      <c r="Q279" s="42"/>
      <c r="R279" s="43"/>
      <c r="S279" s="41"/>
      <c r="T279" s="42"/>
      <c r="U279" s="42"/>
      <c r="V279" s="43"/>
    </row>
    <row r="280" spans="13:22" ht="18.75" customHeight="1" x14ac:dyDescent="0.25">
      <c r="P280" s="41"/>
      <c r="Q280" s="42"/>
      <c r="R280" s="43"/>
      <c r="S280" s="41"/>
      <c r="T280" s="42"/>
      <c r="U280" s="42"/>
      <c r="V280" s="43"/>
    </row>
    <row r="281" spans="13:22" ht="18.75" customHeight="1" x14ac:dyDescent="0.25">
      <c r="P281" s="41"/>
      <c r="Q281" s="42"/>
      <c r="R281" s="43"/>
      <c r="S281" s="41"/>
      <c r="T281" s="42"/>
      <c r="U281" s="42"/>
      <c r="V281" s="43"/>
    </row>
    <row r="282" spans="13:22" ht="18.75" customHeight="1" x14ac:dyDescent="0.25">
      <c r="P282" s="41"/>
      <c r="Q282" s="42"/>
      <c r="R282" s="43"/>
      <c r="S282" s="41"/>
      <c r="T282" s="42"/>
      <c r="U282" s="42"/>
      <c r="V282" s="43"/>
    </row>
    <row r="283" spans="13:22" ht="18.75" customHeight="1" x14ac:dyDescent="0.25">
      <c r="P283" s="41"/>
      <c r="Q283" s="42"/>
      <c r="R283" s="43"/>
      <c r="S283" s="41"/>
      <c r="T283" s="42"/>
      <c r="U283" s="42"/>
      <c r="V283" s="43"/>
    </row>
    <row r="284" spans="13:22" ht="18.75" customHeight="1" x14ac:dyDescent="0.25">
      <c r="P284" s="44"/>
      <c r="Q284" s="45"/>
      <c r="R284" s="46"/>
      <c r="S284" s="44"/>
      <c r="T284" s="45"/>
      <c r="U284" s="45"/>
      <c r="V284" s="46"/>
    </row>
  </sheetData>
  <mergeCells count="18">
    <mergeCell ref="B1:F1"/>
    <mergeCell ref="E3:E4"/>
    <mergeCell ref="G3:G4"/>
    <mergeCell ref="B53:C53"/>
    <mergeCell ref="D53:D54"/>
    <mergeCell ref="E53:E54"/>
    <mergeCell ref="F53:F54"/>
    <mergeCell ref="G53:G54"/>
    <mergeCell ref="C257:D257"/>
    <mergeCell ref="P268:P269"/>
    <mergeCell ref="S268:S269"/>
    <mergeCell ref="H53:H54"/>
    <mergeCell ref="B87:C87"/>
    <mergeCell ref="D87:D88"/>
    <mergeCell ref="E87:E88"/>
    <mergeCell ref="F87:F88"/>
    <mergeCell ref="G87:G88"/>
    <mergeCell ref="H87:H88"/>
  </mergeCells>
  <phoneticPr fontId="23" type="noConversion"/>
  <conditionalFormatting sqref="H173">
    <cfRule type="containsText" dxfId="71" priority="5" operator="containsText" text="[ OK ]">
      <formula>NOT(ISERROR(SEARCH("[ OK ]",H173)))</formula>
    </cfRule>
  </conditionalFormatting>
  <conditionalFormatting sqref="H173 H178">
    <cfRule type="containsText" dxfId="70" priority="4" operator="containsText" text="[ NOT OK ]">
      <formula>NOT(ISERROR(SEARCH("[ NOT OK ]",H173)))</formula>
    </cfRule>
  </conditionalFormatting>
  <conditionalFormatting sqref="H178">
    <cfRule type="containsText" dxfId="69" priority="3" operator="containsText" text="[ OK ]">
      <formula>NOT(ISERROR(SEARCH("[ OK ]",H178)))</formula>
    </cfRule>
  </conditionalFormatting>
  <conditionalFormatting sqref="H241 H266">
    <cfRule type="containsText" dxfId="68" priority="1" operator="containsText" text="[ NOT OK ]">
      <formula>NOT(ISERROR(SEARCH("[ NOT OK ]",H241)))</formula>
    </cfRule>
    <cfRule type="containsText" dxfId="67" priority="2" operator="containsText" text="[ OK ]">
      <formula>NOT(ISERROR(SEARCH("[ OK ]",H241)))</formula>
    </cfRule>
  </conditionalFormatting>
  <pageMargins left="0.7" right="0.7" top="0.75" bottom="0.75" header="0.3" footer="0.3"/>
  <pageSetup paperSize="9" orientation="portrait" horizontalDpi="4294967293" verticalDpi="300" r:id="rId1"/>
  <ignoredErrors>
    <ignoredError sqref="E57:H62 D178" formula="1"/>
    <ignoredError sqref="E92:E97 H94:H96 E91" evalError="1" formula="1"/>
    <ignoredError sqref="B92:D93 B91:D91 F91:H91 B98:H98 B94:D96 F92:H93 B97:D97 F97:H97 F94:G96 H101:H103 H105:H107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4CD4-EC06-4CAE-8A7C-8DD201E9C906}">
  <sheetPr codeName="Sheet7">
    <tabColor theme="7" tint="0.79998168889431442"/>
  </sheetPr>
  <dimension ref="A1:V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9.149999999999999" customHeight="1" x14ac:dyDescent="0.25"/>
  <cols>
    <col min="1" max="1" width="6.7109375" style="63" customWidth="1"/>
    <col min="2" max="7" width="8.85546875" customWidth="1"/>
    <col min="8" max="8" width="12" customWidth="1"/>
    <col min="9" max="9" width="13.140625" customWidth="1"/>
    <col min="10" max="10" width="10.42578125" customWidth="1"/>
    <col min="11" max="11" width="8.7109375" customWidth="1"/>
  </cols>
  <sheetData>
    <row r="1" spans="1:22" ht="19.149999999999999" customHeight="1" x14ac:dyDescent="0.25">
      <c r="A1" s="214" t="s">
        <v>870</v>
      </c>
      <c r="B1" s="596" t="s">
        <v>871</v>
      </c>
      <c r="C1" s="596"/>
      <c r="D1" s="596"/>
      <c r="E1" s="596"/>
      <c r="F1" s="596"/>
      <c r="G1" s="596"/>
      <c r="H1" s="214" t="s">
        <v>872</v>
      </c>
      <c r="I1" s="214" t="s">
        <v>873</v>
      </c>
      <c r="J1" s="215" t="s">
        <v>874</v>
      </c>
    </row>
    <row r="2" spans="1:22" ht="19.149999999999999" customHeight="1" x14ac:dyDescent="0.25">
      <c r="A2" s="239" t="s">
        <v>629</v>
      </c>
      <c r="B2" s="332" t="s">
        <v>630</v>
      </c>
      <c r="C2" s="287"/>
      <c r="D2" s="287"/>
      <c r="E2" s="287"/>
      <c r="F2" s="287"/>
      <c r="G2" s="287"/>
      <c r="H2" s="287"/>
      <c r="I2" s="287"/>
      <c r="J2" s="348"/>
    </row>
    <row r="3" spans="1:22" s="1" customFormat="1" ht="19.149999999999999" customHeight="1" x14ac:dyDescent="0.25">
      <c r="A3" s="239"/>
      <c r="B3" s="42" t="s">
        <v>20</v>
      </c>
      <c r="C3" s="42"/>
      <c r="D3" s="42"/>
      <c r="E3" s="42"/>
      <c r="F3" s="42"/>
      <c r="G3" s="42"/>
      <c r="H3" s="30" t="s">
        <v>21</v>
      </c>
      <c r="I3" s="47">
        <f>'Input (1)'!H24</f>
        <v>40</v>
      </c>
      <c r="J3" s="322" t="s">
        <v>2</v>
      </c>
      <c r="M3" s="228" t="s">
        <v>207</v>
      </c>
      <c r="N3" s="229" t="s">
        <v>208</v>
      </c>
      <c r="O3" s="229" t="s">
        <v>207</v>
      </c>
      <c r="P3" s="229" t="s">
        <v>208</v>
      </c>
      <c r="Q3" s="229" t="s">
        <v>207</v>
      </c>
      <c r="R3" s="229" t="s">
        <v>208</v>
      </c>
      <c r="S3" s="229" t="s">
        <v>207</v>
      </c>
      <c r="T3" s="229" t="s">
        <v>208</v>
      </c>
      <c r="U3" s="229" t="s">
        <v>207</v>
      </c>
      <c r="V3" s="230" t="s">
        <v>208</v>
      </c>
    </row>
    <row r="4" spans="1:22" s="1" customFormat="1" ht="19.149999999999999" customHeight="1" x14ac:dyDescent="0.25">
      <c r="A4" s="239"/>
      <c r="B4" s="42" t="s">
        <v>138</v>
      </c>
      <c r="C4" s="42"/>
      <c r="D4" s="42"/>
      <c r="E4" s="42"/>
      <c r="F4" s="42"/>
      <c r="G4" s="42"/>
      <c r="H4" s="30" t="s">
        <v>204</v>
      </c>
      <c r="I4" s="67">
        <f>'Process (2)'!H148</f>
        <v>0.81195046302450269</v>
      </c>
      <c r="J4" s="322" t="s">
        <v>2</v>
      </c>
      <c r="M4" s="231" t="s">
        <v>46</v>
      </c>
      <c r="N4" s="232" t="s">
        <v>46</v>
      </c>
      <c r="O4" s="232" t="s">
        <v>46</v>
      </c>
      <c r="P4" s="232" t="s">
        <v>46</v>
      </c>
      <c r="Q4" s="232" t="s">
        <v>46</v>
      </c>
      <c r="R4" s="232" t="s">
        <v>46</v>
      </c>
      <c r="S4" s="232" t="s">
        <v>46</v>
      </c>
      <c r="T4" s="232" t="s">
        <v>46</v>
      </c>
      <c r="U4" s="232" t="s">
        <v>46</v>
      </c>
      <c r="V4" s="233" t="s">
        <v>46</v>
      </c>
    </row>
    <row r="5" spans="1:22" ht="19.149999999999999" customHeight="1" x14ac:dyDescent="0.35">
      <c r="A5" s="239"/>
      <c r="B5" s="287" t="s">
        <v>205</v>
      </c>
      <c r="C5" s="287"/>
      <c r="D5" s="287"/>
      <c r="E5" s="287"/>
      <c r="F5" s="287" t="s">
        <v>206</v>
      </c>
      <c r="G5" s="287"/>
      <c r="H5" s="287"/>
      <c r="I5" s="287" t="s">
        <v>912</v>
      </c>
      <c r="J5" s="348"/>
      <c r="M5" s="226">
        <v>-0.4</v>
      </c>
      <c r="N5" s="227">
        <f>4*$I$4*M5/$I$3^2*($I$3-M5)</f>
        <v>-3.2802798706189913E-2</v>
      </c>
      <c r="O5" s="226">
        <f>9/40*I3</f>
        <v>9</v>
      </c>
      <c r="P5" s="227">
        <f>4*$I$4*O5/$I$3^2*($I$3-O5)</f>
        <v>0.56633544795959068</v>
      </c>
      <c r="Q5" s="226">
        <f>19/40*I3</f>
        <v>19</v>
      </c>
      <c r="R5" s="227">
        <f>4*$I$4*Q5/$I$3^2*($I$3-Q5)</f>
        <v>0.80992058686694146</v>
      </c>
      <c r="S5" s="226">
        <f>29/40*I3</f>
        <v>29</v>
      </c>
      <c r="T5" s="227">
        <f>4*$I$4*S5/$I$3^2*($I$3-S5)</f>
        <v>0.64753049426204079</v>
      </c>
      <c r="U5" s="226">
        <f>39/40*I3</f>
        <v>39</v>
      </c>
      <c r="V5" s="227">
        <f>4*$I$4*U5/$I$3^2*($I$3-U5)</f>
        <v>7.916517014488901E-2</v>
      </c>
    </row>
    <row r="6" spans="1:22" ht="19.149999999999999" customHeight="1" x14ac:dyDescent="0.25">
      <c r="A6" s="239"/>
      <c r="B6" s="287"/>
      <c r="C6" s="287"/>
      <c r="D6" s="287"/>
      <c r="E6" s="287"/>
      <c r="F6" s="287"/>
      <c r="G6" s="287"/>
      <c r="H6" s="287"/>
      <c r="I6" s="287"/>
      <c r="J6" s="348"/>
      <c r="M6" s="225">
        <v>0</v>
      </c>
      <c r="N6" s="50">
        <f t="shared" ref="N6:P14" si="0">4*$I$4*M6/$I$3^2*($I$3-M6)</f>
        <v>0</v>
      </c>
      <c r="O6" s="225">
        <f>10/40*I3</f>
        <v>10</v>
      </c>
      <c r="P6" s="50">
        <f t="shared" si="0"/>
        <v>0.60896284726837702</v>
      </c>
      <c r="Q6" s="225">
        <f>20/40*I3</f>
        <v>20</v>
      </c>
      <c r="R6" s="50">
        <f t="shared" ref="R6:V14" si="1">4*$I$4*Q6/$I$3^2*($I$3-Q6)</f>
        <v>0.81195046302450269</v>
      </c>
      <c r="S6" s="225">
        <f>30/40*I3</f>
        <v>30</v>
      </c>
      <c r="T6" s="50">
        <f t="shared" si="1"/>
        <v>0.60896284726837702</v>
      </c>
      <c r="U6" s="225">
        <f>40/40*I3</f>
        <v>40</v>
      </c>
      <c r="V6" s="50">
        <f t="shared" si="1"/>
        <v>0</v>
      </c>
    </row>
    <row r="7" spans="1:22" ht="19.149999999999999" customHeight="1" x14ac:dyDescent="0.25">
      <c r="A7" s="239"/>
      <c r="B7" s="287"/>
      <c r="C7" s="287"/>
      <c r="D7" s="287"/>
      <c r="E7" s="287"/>
      <c r="F7" s="287"/>
      <c r="G7" s="287"/>
      <c r="H7" s="287"/>
      <c r="I7" s="287"/>
      <c r="J7" s="348"/>
      <c r="M7" s="225">
        <f>1/40*I3</f>
        <v>1</v>
      </c>
      <c r="N7" s="50">
        <f t="shared" si="0"/>
        <v>7.9165170144889024E-2</v>
      </c>
      <c r="O7" s="225">
        <f>11/40*I3</f>
        <v>11</v>
      </c>
      <c r="P7" s="50">
        <f t="shared" si="0"/>
        <v>0.6475304942620409</v>
      </c>
      <c r="Q7" s="225">
        <f>21/40*I3</f>
        <v>21</v>
      </c>
      <c r="R7" s="50">
        <f t="shared" si="1"/>
        <v>0.80992058686694135</v>
      </c>
      <c r="S7" s="225">
        <f>31/40*I3</f>
        <v>31</v>
      </c>
      <c r="T7" s="50">
        <f t="shared" si="1"/>
        <v>0.56633544795959068</v>
      </c>
      <c r="U7" s="225">
        <f>U6+0.4</f>
        <v>40.4</v>
      </c>
      <c r="V7" s="50">
        <f t="shared" si="1"/>
        <v>-3.2802798706189788E-2</v>
      </c>
    </row>
    <row r="8" spans="1:22" ht="19.149999999999999" customHeight="1" x14ac:dyDescent="0.25">
      <c r="A8" s="239"/>
      <c r="B8" s="287"/>
      <c r="C8" s="287"/>
      <c r="D8" s="287"/>
      <c r="E8" s="287"/>
      <c r="F8" s="287"/>
      <c r="G8" s="287"/>
      <c r="H8" s="287"/>
      <c r="I8" s="287"/>
      <c r="J8" s="348"/>
      <c r="M8" s="225">
        <f>2/40*I3</f>
        <v>2</v>
      </c>
      <c r="N8" s="50">
        <f t="shared" si="0"/>
        <v>0.15427058797465554</v>
      </c>
      <c r="O8" s="225">
        <f>12/40*I3</f>
        <v>12</v>
      </c>
      <c r="P8" s="50">
        <f t="shared" si="0"/>
        <v>0.68203838894058233</v>
      </c>
      <c r="Q8" s="225">
        <f>22/40*I3</f>
        <v>22</v>
      </c>
      <c r="R8" s="50">
        <f t="shared" si="1"/>
        <v>0.80383095839425778</v>
      </c>
      <c r="S8" s="225">
        <f>32/40*I3</f>
        <v>32</v>
      </c>
      <c r="T8" s="50">
        <f t="shared" si="1"/>
        <v>0.51964829633568177</v>
      </c>
      <c r="U8" s="225"/>
      <c r="V8" s="50"/>
    </row>
    <row r="9" spans="1:22" ht="19.149999999999999" customHeight="1" x14ac:dyDescent="0.25">
      <c r="A9" s="239"/>
      <c r="B9" s="287"/>
      <c r="C9" s="287"/>
      <c r="D9" s="287"/>
      <c r="E9" s="287"/>
      <c r="F9" s="287"/>
      <c r="G9" s="287"/>
      <c r="H9" s="287"/>
      <c r="I9" s="287"/>
      <c r="J9" s="348"/>
      <c r="M9" s="225">
        <f>3/40*I3</f>
        <v>3</v>
      </c>
      <c r="N9" s="50">
        <f t="shared" si="0"/>
        <v>0.22531625348929951</v>
      </c>
      <c r="O9" s="225">
        <f>13/40*I3</f>
        <v>13</v>
      </c>
      <c r="P9" s="50">
        <f t="shared" si="0"/>
        <v>0.71248653130400108</v>
      </c>
      <c r="Q9" s="225">
        <f>23/40*I3</f>
        <v>23</v>
      </c>
      <c r="R9" s="50">
        <f t="shared" si="1"/>
        <v>0.79368157760645142</v>
      </c>
      <c r="S9" s="225">
        <f>33/40*I3</f>
        <v>33</v>
      </c>
      <c r="T9" s="50">
        <f t="shared" si="1"/>
        <v>0.46890139239665024</v>
      </c>
      <c r="U9" s="225"/>
      <c r="V9" s="50"/>
    </row>
    <row r="10" spans="1:22" ht="19.149999999999999" customHeight="1" x14ac:dyDescent="0.25">
      <c r="A10" s="239"/>
      <c r="B10" s="287"/>
      <c r="C10" s="287"/>
      <c r="D10" s="287"/>
      <c r="E10" s="287"/>
      <c r="F10" s="287"/>
      <c r="G10" s="287"/>
      <c r="H10" s="287"/>
      <c r="I10" s="287"/>
      <c r="J10" s="348"/>
      <c r="M10" s="225">
        <f>4/40*I3</f>
        <v>4</v>
      </c>
      <c r="N10" s="50">
        <f t="shared" si="0"/>
        <v>0.29230216668882097</v>
      </c>
      <c r="O10" s="225">
        <f>14/40*I3</f>
        <v>14</v>
      </c>
      <c r="P10" s="50">
        <f t="shared" si="0"/>
        <v>0.73887492135229738</v>
      </c>
      <c r="Q10" s="225">
        <f>24/40*I3</f>
        <v>24</v>
      </c>
      <c r="R10" s="50">
        <f t="shared" si="1"/>
        <v>0.7794724445035226</v>
      </c>
      <c r="S10" s="225">
        <f>34/40*I3</f>
        <v>34</v>
      </c>
      <c r="T10" s="50">
        <f t="shared" si="1"/>
        <v>0.41409473614249631</v>
      </c>
      <c r="U10" s="225"/>
      <c r="V10" s="50"/>
    </row>
    <row r="11" spans="1:22" ht="19.149999999999999" customHeight="1" x14ac:dyDescent="0.25">
      <c r="A11" s="239"/>
      <c r="B11" s="287"/>
      <c r="C11" s="287"/>
      <c r="D11" s="287"/>
      <c r="E11" s="287"/>
      <c r="F11" s="287"/>
      <c r="G11" s="287"/>
      <c r="H11" s="287"/>
      <c r="I11" s="287"/>
      <c r="J11" s="348"/>
      <c r="M11" s="225">
        <f>5/40*I3</f>
        <v>5</v>
      </c>
      <c r="N11" s="50">
        <f t="shared" si="0"/>
        <v>0.35522832757321993</v>
      </c>
      <c r="O11" s="225">
        <f>15/40*I3</f>
        <v>15</v>
      </c>
      <c r="P11" s="50">
        <f t="shared" si="0"/>
        <v>0.76120355908547133</v>
      </c>
      <c r="Q11" s="225">
        <f>25/40*I3</f>
        <v>25</v>
      </c>
      <c r="R11" s="50">
        <f t="shared" si="1"/>
        <v>0.76120355908547133</v>
      </c>
      <c r="S11" s="225">
        <f>35/40*I3</f>
        <v>35</v>
      </c>
      <c r="T11" s="50">
        <f t="shared" si="1"/>
        <v>0.35522832757321993</v>
      </c>
      <c r="U11" s="225"/>
      <c r="V11" s="50"/>
    </row>
    <row r="12" spans="1:22" ht="19.149999999999999" customHeight="1" x14ac:dyDescent="0.25">
      <c r="A12" s="239"/>
      <c r="B12" s="287"/>
      <c r="C12" s="287"/>
      <c r="D12" s="287"/>
      <c r="E12" s="287"/>
      <c r="F12" s="287"/>
      <c r="G12" s="287"/>
      <c r="H12" s="287"/>
      <c r="I12" s="287"/>
      <c r="J12" s="348"/>
      <c r="M12" s="225">
        <f>6/40*I3</f>
        <v>6</v>
      </c>
      <c r="N12" s="50">
        <f t="shared" si="0"/>
        <v>0.41409473614249637</v>
      </c>
      <c r="O12" s="225">
        <f>16/40*I3</f>
        <v>16</v>
      </c>
      <c r="P12" s="50">
        <f t="shared" si="0"/>
        <v>0.7794724445035226</v>
      </c>
      <c r="Q12" s="225">
        <f>26/40*I3</f>
        <v>26</v>
      </c>
      <c r="R12" s="50">
        <f t="shared" si="1"/>
        <v>0.73887492135229738</v>
      </c>
      <c r="S12" s="225">
        <f>36/40*I3</f>
        <v>36</v>
      </c>
      <c r="T12" s="50">
        <f t="shared" si="1"/>
        <v>0.29230216668882097</v>
      </c>
      <c r="U12" s="225"/>
      <c r="V12" s="50"/>
    </row>
    <row r="13" spans="1:22" ht="19.149999999999999" customHeight="1" x14ac:dyDescent="0.25">
      <c r="A13" s="239"/>
      <c r="B13" s="287"/>
      <c r="C13" s="287"/>
      <c r="D13" s="287"/>
      <c r="E13" s="287"/>
      <c r="F13" s="287"/>
      <c r="G13" s="287"/>
      <c r="H13" s="287"/>
      <c r="I13" s="287"/>
      <c r="J13" s="348"/>
      <c r="M13" s="225">
        <f>7/40*I3</f>
        <v>7</v>
      </c>
      <c r="N13" s="50">
        <f t="shared" si="0"/>
        <v>0.4689013923966503</v>
      </c>
      <c r="O13" s="225">
        <f>17/40*I3</f>
        <v>17</v>
      </c>
      <c r="P13" s="50">
        <f t="shared" si="0"/>
        <v>0.79368157760645131</v>
      </c>
      <c r="Q13" s="225">
        <f>27/40*I3</f>
        <v>27</v>
      </c>
      <c r="R13" s="50">
        <f t="shared" si="1"/>
        <v>0.71248653130400119</v>
      </c>
      <c r="S13" s="225">
        <f>37/40*I3</f>
        <v>37</v>
      </c>
      <c r="T13" s="50">
        <f t="shared" si="1"/>
        <v>0.22531625348929951</v>
      </c>
      <c r="U13" s="225"/>
      <c r="V13" s="50"/>
    </row>
    <row r="14" spans="1:22" ht="19.149999999999999" customHeight="1" x14ac:dyDescent="0.25">
      <c r="A14" s="239" t="s">
        <v>631</v>
      </c>
      <c r="B14" s="332" t="s">
        <v>632</v>
      </c>
      <c r="C14" s="287"/>
      <c r="D14" s="287"/>
      <c r="E14" s="287"/>
      <c r="F14" s="287"/>
      <c r="G14" s="287"/>
      <c r="H14" s="287"/>
      <c r="I14" s="287"/>
      <c r="J14" s="348"/>
      <c r="M14" s="225">
        <f>8/40*I3</f>
        <v>8</v>
      </c>
      <c r="N14" s="50">
        <f t="shared" si="0"/>
        <v>0.51964829633568177</v>
      </c>
      <c r="O14" s="225">
        <f>18/40*I3</f>
        <v>18</v>
      </c>
      <c r="P14" s="50">
        <f t="shared" si="0"/>
        <v>0.80383095839425767</v>
      </c>
      <c r="Q14" s="225">
        <f>28/40*I3</f>
        <v>28</v>
      </c>
      <c r="R14" s="50">
        <f t="shared" si="1"/>
        <v>0.68203838894058222</v>
      </c>
      <c r="S14" s="225">
        <f>38/40*I3</f>
        <v>38</v>
      </c>
      <c r="T14" s="50">
        <f t="shared" si="1"/>
        <v>0.15427058797465551</v>
      </c>
      <c r="U14" s="225"/>
      <c r="V14" s="50"/>
    </row>
    <row r="15" spans="1:22" ht="19.149999999999999" customHeight="1" x14ac:dyDescent="0.25">
      <c r="A15" s="239"/>
      <c r="B15" s="287" t="s">
        <v>215</v>
      </c>
      <c r="C15" s="287"/>
      <c r="D15" s="287"/>
      <c r="E15" s="287"/>
      <c r="F15" s="287"/>
      <c r="G15" s="54" t="s">
        <v>218</v>
      </c>
      <c r="H15" s="52"/>
      <c r="I15" s="53"/>
      <c r="J15" s="348"/>
    </row>
    <row r="16" spans="1:22" ht="19.149999999999999" customHeight="1" x14ac:dyDescent="0.35">
      <c r="A16" s="239"/>
      <c r="B16" s="287"/>
      <c r="C16" s="287"/>
      <c r="D16" s="287"/>
      <c r="E16" s="287"/>
      <c r="F16" s="287"/>
      <c r="G16" s="54" t="s">
        <v>909</v>
      </c>
      <c r="H16" s="52"/>
      <c r="I16" s="53"/>
      <c r="J16" s="348"/>
      <c r="M16" s="48" t="s">
        <v>209</v>
      </c>
      <c r="N16" s="50">
        <f>ABS(M5)</f>
        <v>0.4</v>
      </c>
      <c r="O16" s="49" t="s">
        <v>2</v>
      </c>
      <c r="P16" s="48" t="s">
        <v>211</v>
      </c>
      <c r="Q16" s="51">
        <f>I3/2+N16</f>
        <v>20.399999999999999</v>
      </c>
      <c r="R16" t="s">
        <v>2</v>
      </c>
      <c r="U16" s="48" t="s">
        <v>213</v>
      </c>
      <c r="V16" s="50">
        <f>2*(Q17)/Q16</f>
        <v>8.2818947228499279E-2</v>
      </c>
    </row>
    <row r="17" spans="1:22" ht="19.149999999999999" customHeight="1" x14ac:dyDescent="0.35">
      <c r="A17" s="239"/>
      <c r="B17" s="287" t="s">
        <v>216</v>
      </c>
      <c r="C17" s="287"/>
      <c r="D17" s="287"/>
      <c r="E17" s="287"/>
      <c r="F17" s="287"/>
      <c r="G17" s="54" t="s">
        <v>219</v>
      </c>
      <c r="H17" s="52"/>
      <c r="I17" s="53"/>
      <c r="J17" s="348"/>
      <c r="M17" s="48" t="s">
        <v>210</v>
      </c>
      <c r="N17" s="50">
        <f>ABS(N5)</f>
        <v>3.2802798706189913E-2</v>
      </c>
      <c r="O17" s="49" t="s">
        <v>2</v>
      </c>
      <c r="P17" s="48" t="s">
        <v>212</v>
      </c>
      <c r="Q17" s="50">
        <f>N17+I4</f>
        <v>0.84475326173069265</v>
      </c>
      <c r="R17" t="s">
        <v>2</v>
      </c>
      <c r="U17" s="48" t="s">
        <v>214</v>
      </c>
      <c r="V17" s="50">
        <f>V16</f>
        <v>8.2818947228499279E-2</v>
      </c>
    </row>
    <row r="18" spans="1:22" ht="19.149999999999999" customHeight="1" x14ac:dyDescent="0.25">
      <c r="A18" s="239"/>
      <c r="B18" s="287" t="s">
        <v>217</v>
      </c>
      <c r="C18" s="287"/>
      <c r="D18" s="287"/>
      <c r="E18" s="287"/>
      <c r="F18" s="287"/>
      <c r="G18" s="55" t="s">
        <v>911</v>
      </c>
      <c r="H18" s="52"/>
      <c r="I18" s="53"/>
      <c r="J18" s="348"/>
    </row>
    <row r="19" spans="1:22" ht="19.149999999999999" customHeight="1" x14ac:dyDescent="0.25">
      <c r="A19" s="239"/>
      <c r="B19" s="287"/>
      <c r="C19" s="287"/>
      <c r="D19" s="287"/>
      <c r="E19" s="287"/>
      <c r="F19" s="287"/>
      <c r="G19" s="287"/>
      <c r="H19" s="287"/>
      <c r="I19" s="287"/>
      <c r="J19" s="348"/>
    </row>
    <row r="20" spans="1:22" ht="19.149999999999999" customHeight="1" x14ac:dyDescent="0.25">
      <c r="A20" s="239"/>
      <c r="B20" s="631" t="s">
        <v>220</v>
      </c>
      <c r="C20" s="630" t="s">
        <v>221</v>
      </c>
      <c r="D20" s="630" t="s">
        <v>222</v>
      </c>
      <c r="E20" s="162" t="s">
        <v>223</v>
      </c>
      <c r="F20" s="630" t="s">
        <v>224</v>
      </c>
      <c r="G20" s="632" t="s">
        <v>598</v>
      </c>
      <c r="H20" s="632"/>
      <c r="I20" s="287"/>
      <c r="J20" s="348"/>
    </row>
    <row r="21" spans="1:22" ht="19.149999999999999" customHeight="1" x14ac:dyDescent="0.25">
      <c r="A21" s="239"/>
      <c r="B21" s="631"/>
      <c r="C21" s="630"/>
      <c r="D21" s="630"/>
      <c r="E21" s="212" t="s">
        <v>46</v>
      </c>
      <c r="F21" s="630"/>
      <c r="G21" s="212" t="s">
        <v>225</v>
      </c>
      <c r="H21" s="212" t="s">
        <v>226</v>
      </c>
      <c r="I21" s="287"/>
      <c r="J21" s="348"/>
    </row>
    <row r="22" spans="1:22" ht="19.149999999999999" customHeight="1" x14ac:dyDescent="0.25">
      <c r="A22" s="239"/>
      <c r="B22" s="351">
        <f>'Process (2)'!P270</f>
        <v>1</v>
      </c>
      <c r="C22" s="51">
        <f>IF('Input (1)'!H72=2,"",IF('Input (1)'!H72=3,"",IF('Input (1)'!H72=4,'Input (1)'!R74,"[ EROR ]")))</f>
        <v>11</v>
      </c>
      <c r="D22" s="163">
        <f>IF(B22=1,'Input (1)'!$V$74,IF(B22=2,'Input (1)'!$V$75,IF(B22=3,'Input (1)'!$V$76,IF(B22=4,'Input (1)'!$V$77,""))))</f>
        <v>72</v>
      </c>
      <c r="E22" s="50">
        <f>'Process (2)'!V270</f>
        <v>1.33</v>
      </c>
      <c r="F22" s="56">
        <f>IF(C22="","",4*E22/$I$3)</f>
        <v>0.13300000000000001</v>
      </c>
      <c r="G22" s="56">
        <f>IF(C22="","",ATAN(F22))</f>
        <v>0.13222400708894363</v>
      </c>
      <c r="H22" s="50">
        <f>IF(C22="","",DEGREES(G22))</f>
        <v>7.5758775565043486</v>
      </c>
      <c r="I22" s="287"/>
      <c r="J22" s="348"/>
    </row>
    <row r="23" spans="1:22" ht="19.149999999999999" customHeight="1" x14ac:dyDescent="0.25">
      <c r="A23" s="239"/>
      <c r="B23" s="351">
        <f>'Process (2)'!P271</f>
        <v>2</v>
      </c>
      <c r="C23" s="51">
        <f>IF('Input (1)'!H72=2,"",IF('Input (1)'!H72=3,'Input (1)'!R74,IF('Input (1)'!H72=4,'Input (1)'!R75,"[ EROR ]")))</f>
        <v>19</v>
      </c>
      <c r="D23" s="163">
        <f>IF(B23=1,'Input (1)'!$V$74,IF(B23=2,'Input (1)'!$V$75,IF(B23=3,'Input (1)'!$V$76,IF(B23=4,'Input (1)'!$V$77,""))))</f>
        <v>87</v>
      </c>
      <c r="E23" s="50">
        <f>'Process (2)'!V271</f>
        <v>1.1500000000000001</v>
      </c>
      <c r="F23" s="56">
        <f>IF(C23="","",4*E23/$I$3)</f>
        <v>0.11500000000000002</v>
      </c>
      <c r="G23" s="56">
        <f>IF(C23="","",ATAN(F23))</f>
        <v>0.11449702676745017</v>
      </c>
      <c r="H23" s="50">
        <f>IF(C23="","",DEGREES(G23))</f>
        <v>6.5601964005713098</v>
      </c>
      <c r="I23" s="287"/>
      <c r="J23" s="348"/>
    </row>
    <row r="24" spans="1:22" ht="19.149999999999999" customHeight="1" x14ac:dyDescent="0.25">
      <c r="A24" s="239"/>
      <c r="B24" s="351">
        <f>'Process (2)'!P272</f>
        <v>3</v>
      </c>
      <c r="C24" s="51">
        <f>IF('Input (1)'!H72=2,'Input (1)'!R74,IF('Input (1)'!H72=3,'Input (1)'!R75,IF('Input (1)'!H72=4,'Input (1)'!R77,"[ EROR ]")))</f>
        <v>19</v>
      </c>
      <c r="D24" s="163">
        <f>IF(B24=1,'Input (1)'!$V$74,IF(B24=2,'Input (1)'!$V$75,IF(B24=3,'Input (1)'!$V$76,IF(B24=4,'Input (1)'!$V$77,""))))</f>
        <v>87</v>
      </c>
      <c r="E24" s="50">
        <f>'Process (2)'!V272</f>
        <v>0.72</v>
      </c>
      <c r="F24" s="56">
        <f>4*E24/$I$3</f>
        <v>7.1999999999999995E-2</v>
      </c>
      <c r="G24" s="56">
        <f t="shared" ref="G24" si="2">ATAN(F24)</f>
        <v>7.187596955633492E-2</v>
      </c>
      <c r="H24" s="50">
        <f t="shared" ref="H24" si="3">DEGREES(G24)</f>
        <v>4.1181897039887829</v>
      </c>
      <c r="I24" s="287"/>
      <c r="J24" s="348"/>
    </row>
    <row r="25" spans="1:22" ht="15" x14ac:dyDescent="0.25">
      <c r="A25" s="239"/>
      <c r="B25" s="351">
        <f>'Process (2)'!P273</f>
        <v>4</v>
      </c>
      <c r="C25" s="51">
        <f>IF('Input (1)'!H72=2,'Input (1)'!R75,IF('Input (1)'!H72=3,'Input (1)'!R76,IF('Input (1)'!H72=4,'Input (1)'!R77,"[ EROR ]")))</f>
        <v>19</v>
      </c>
      <c r="D25" s="163">
        <f>IF(B25=1,'Input (1)'!$V$74,IF(B25=2,'Input (1)'!$V$75,IF(B25=3,'Input (1)'!$V$76,IF(B25=4,'Input (1)'!$V$77,""))))</f>
        <v>87</v>
      </c>
      <c r="E25" s="50">
        <f>'Process (2)'!V273</f>
        <v>0.29000000000000004</v>
      </c>
      <c r="F25" s="56">
        <f>4*E25/$I$3</f>
        <v>2.9000000000000005E-2</v>
      </c>
      <c r="G25" s="56">
        <f>ATAN(F25)</f>
        <v>2.899187443310048E-2</v>
      </c>
      <c r="H25" s="50">
        <f>DEGREES(G25)</f>
        <v>1.6611120451898937</v>
      </c>
      <c r="I25" s="287"/>
      <c r="J25" s="348"/>
    </row>
    <row r="26" spans="1:22" ht="19.149999999999999" customHeight="1" x14ac:dyDescent="0.25">
      <c r="A26" s="239"/>
      <c r="B26" s="287"/>
      <c r="C26" s="287"/>
      <c r="D26" s="287"/>
      <c r="E26" s="287"/>
      <c r="F26" s="287"/>
      <c r="G26" s="287"/>
      <c r="H26" s="287"/>
      <c r="I26" s="287"/>
      <c r="J26" s="348"/>
    </row>
    <row r="27" spans="1:22" ht="19.149999999999999" customHeight="1" x14ac:dyDescent="0.25">
      <c r="A27" s="239" t="s">
        <v>633</v>
      </c>
      <c r="B27" s="332" t="s">
        <v>634</v>
      </c>
      <c r="C27" s="287"/>
      <c r="D27" s="287"/>
      <c r="E27" s="287"/>
      <c r="F27" s="287"/>
      <c r="G27" s="287"/>
      <c r="H27" s="287"/>
      <c r="I27" s="287"/>
      <c r="J27" s="348"/>
    </row>
    <row r="28" spans="1:22" ht="19.149999999999999" customHeight="1" x14ac:dyDescent="0.25">
      <c r="A28" s="239"/>
      <c r="B28" s="42" t="s">
        <v>20</v>
      </c>
      <c r="C28" s="42"/>
      <c r="D28" s="42"/>
      <c r="E28" s="42"/>
      <c r="F28" s="42"/>
      <c r="G28" s="42"/>
      <c r="H28" s="30" t="s">
        <v>21</v>
      </c>
      <c r="I28" s="47">
        <f>I3</f>
        <v>40</v>
      </c>
      <c r="J28" s="322" t="s">
        <v>2</v>
      </c>
      <c r="K28" s="1"/>
    </row>
    <row r="29" spans="1:22" ht="19.149999999999999" customHeight="1" x14ac:dyDescent="0.25">
      <c r="A29" s="239"/>
      <c r="B29" s="42" t="s">
        <v>227</v>
      </c>
      <c r="C29" s="42"/>
      <c r="D29" s="42"/>
      <c r="E29" s="42"/>
      <c r="F29" s="42"/>
      <c r="G29" s="42"/>
      <c r="H29" s="30" t="s">
        <v>910</v>
      </c>
      <c r="I29" s="47">
        <f>I4</f>
        <v>0.81195046302450269</v>
      </c>
      <c r="J29" s="322" t="s">
        <v>2</v>
      </c>
      <c r="K29" s="1"/>
    </row>
    <row r="30" spans="1:22" ht="19.149999999999999" customHeight="1" x14ac:dyDescent="0.25">
      <c r="A30" s="239"/>
      <c r="B30" s="42" t="s">
        <v>228</v>
      </c>
      <c r="C30" s="42"/>
      <c r="D30" s="42"/>
      <c r="E30" s="42"/>
      <c r="F30" s="42"/>
      <c r="G30" s="42"/>
      <c r="H30" s="30" t="s">
        <v>150</v>
      </c>
      <c r="I30" s="67">
        <f>'Process (2)'!H144</f>
        <v>1.0119504630245026</v>
      </c>
      <c r="J30" s="322" t="s">
        <v>2</v>
      </c>
      <c r="K30" s="1"/>
    </row>
    <row r="31" spans="1:22" ht="19.149999999999999" customHeight="1" x14ac:dyDescent="0.25">
      <c r="A31" s="239"/>
      <c r="B31" s="42" t="s">
        <v>229</v>
      </c>
      <c r="C31" s="287"/>
      <c r="D31" s="287"/>
      <c r="E31" s="287"/>
      <c r="F31" s="287" t="str">
        <f>IF('Input (1)'!H72=2,"",IF('Input (1)'!H72=3,"",IF('Input (1)'!H72=4,"Tendon 1","[ EROR ]")))</f>
        <v>Tendon 1</v>
      </c>
      <c r="G31" s="287"/>
      <c r="H31" s="57" t="str">
        <f>IF('Input (1)'!H72=2,"",IF('Input (1)'!H72=3,"",IF('Input (1)'!H72=4,"f1 =","[ EROR ]")))</f>
        <v>f1 =</v>
      </c>
      <c r="I31" s="51">
        <f>E22</f>
        <v>1.33</v>
      </c>
      <c r="J31" s="322" t="s">
        <v>2</v>
      </c>
    </row>
    <row r="32" spans="1:22" ht="19.149999999999999" customHeight="1" x14ac:dyDescent="0.25">
      <c r="A32" s="239"/>
      <c r="B32" s="287"/>
      <c r="C32" s="287"/>
      <c r="D32" s="287"/>
      <c r="E32" s="287"/>
      <c r="F32" s="287" t="str">
        <f>IF('Input (1)'!H72=2,"",IF('Input (1)'!H72=3,"Tendon 1",IF('Input (1)'!H72=4,"Tendon 2","[ EROR ]")))</f>
        <v>Tendon 2</v>
      </c>
      <c r="G32" s="287"/>
      <c r="H32" s="57" t="str">
        <f>IF('Input (1)'!H72=2,"",IF('Input (1)'!H72=3,"f1 =",IF('Input (1)'!H72=4,"f2 =","[ EROR ]")))</f>
        <v>f2 =</v>
      </c>
      <c r="I32" s="51">
        <f t="shared" ref="I32:I33" si="4">E23</f>
        <v>1.1500000000000001</v>
      </c>
      <c r="J32" s="322" t="s">
        <v>2</v>
      </c>
    </row>
    <row r="33" spans="1:21" s="1" customFormat="1" ht="19.149999999999999" customHeight="1" x14ac:dyDescent="0.25">
      <c r="A33" s="239"/>
      <c r="B33" s="287"/>
      <c r="C33" s="287"/>
      <c r="D33" s="287"/>
      <c r="E33" s="287"/>
      <c r="F33" s="287" t="str">
        <f>IF('Input (1)'!H72=2,"Tendon 1",IF('Input (1)'!H72=3,"Tendon 2",IF('Input (1)'!H72=4,"Tendon 3","[ EROR ]")))</f>
        <v>Tendon 3</v>
      </c>
      <c r="G33" s="287"/>
      <c r="H33" s="57" t="str">
        <f>IF('Input (1)'!H72=2,"f1 =",IF('Input (1)'!H72=3,"f2 =",IF('Input (1)'!H72=4,"f3 =","[ EROR ]")))</f>
        <v>f3 =</v>
      </c>
      <c r="I33" s="51">
        <f t="shared" si="4"/>
        <v>0.72</v>
      </c>
      <c r="J33" s="322" t="s">
        <v>2</v>
      </c>
      <c r="K33"/>
      <c r="M33" s="629" t="s">
        <v>232</v>
      </c>
      <c r="N33" s="627" t="s">
        <v>400</v>
      </c>
      <c r="O33" s="146" t="s">
        <v>233</v>
      </c>
      <c r="P33" s="629" t="s">
        <v>234</v>
      </c>
      <c r="Q33" s="629"/>
      <c r="R33" s="629"/>
      <c r="S33" s="629"/>
      <c r="T33" s="625" t="s">
        <v>555</v>
      </c>
      <c r="U33" s="626"/>
    </row>
    <row r="34" spans="1:21" s="1" customFormat="1" ht="19.149999999999999" customHeight="1" x14ac:dyDescent="0.25">
      <c r="A34" s="239"/>
      <c r="B34" s="287"/>
      <c r="C34" s="287"/>
      <c r="D34" s="287"/>
      <c r="E34" s="287"/>
      <c r="F34" s="287" t="str">
        <f>IF('Input (1)'!H72=2,"Tendon 2",IF('Input (1)'!H72=3,"Tendon 3",IF('Input (1)'!H72=4,"Tendon 4","[ EROR ]")))</f>
        <v>Tendon 4</v>
      </c>
      <c r="G34" s="287"/>
      <c r="H34" s="57" t="str">
        <f>IF('Input (1)'!H72=2,"f2 =",IF('Input (1)'!H72=3,"f3 =",IF('Input (1)'!H72=4,"f4 =","[ EROR ]")))</f>
        <v>f4 =</v>
      </c>
      <c r="I34" s="51">
        <f>E25</f>
        <v>0.29000000000000004</v>
      </c>
      <c r="J34" s="322" t="s">
        <v>2</v>
      </c>
      <c r="K34"/>
      <c r="M34" s="629"/>
      <c r="N34" s="628"/>
      <c r="O34" s="146" t="s">
        <v>729</v>
      </c>
      <c r="P34" s="146" t="str">
        <f>IF('Input (1)'!H72=2,"",IF('Input (1)'!H72=3,"",IF('Input (1)'!H72=4,"Z1","[ EROR ]")))</f>
        <v>Z1</v>
      </c>
      <c r="Q34" s="146" t="str">
        <f>IF('Input (1)'!H72=2,"",IF('Input (1)'!H72=3,"Z1",IF('Input (1)'!H72=4,"Z2","[ EROR ]")))</f>
        <v>Z2</v>
      </c>
      <c r="R34" s="146" t="str">
        <f>IF('Input (1)'!H72=2,"Z1",IF('Input (1)'!H72=3,"Z2",IF('Input (1)'!H72=4,"Z3","[ EROR ]")))</f>
        <v>Z3</v>
      </c>
      <c r="S34" s="146" t="str">
        <f>IF('Input (1)'!H72=2,"Z2",IF('Input (1)'!H72=3,"Z3",IF('Input (1)'!H72=4,"Z4","[ EROR ]")))</f>
        <v>Z4</v>
      </c>
      <c r="T34" s="146" t="s">
        <v>730</v>
      </c>
      <c r="U34" s="146" t="s">
        <v>731</v>
      </c>
    </row>
    <row r="35" spans="1:21" s="1" customFormat="1" ht="19.149999999999999" customHeight="1" x14ac:dyDescent="0.25">
      <c r="A35" s="239"/>
      <c r="B35" s="287"/>
      <c r="C35" s="287"/>
      <c r="D35" s="287"/>
      <c r="E35" s="287"/>
      <c r="F35" s="287"/>
      <c r="G35" s="287"/>
      <c r="H35" s="287"/>
      <c r="I35" s="287"/>
      <c r="J35" s="348"/>
      <c r="K35"/>
      <c r="M35" s="146" t="s">
        <v>46</v>
      </c>
      <c r="N35" s="146" t="s">
        <v>404</v>
      </c>
      <c r="O35" s="146" t="s">
        <v>46</v>
      </c>
      <c r="P35" s="146" t="str">
        <f>IF(P34="","","(m)")</f>
        <v>(m)</v>
      </c>
      <c r="Q35" s="146" t="str">
        <f>IF(Q34="","","(m)")</f>
        <v>(m)</v>
      </c>
      <c r="R35" s="146" t="s">
        <v>46</v>
      </c>
      <c r="S35" s="146" t="s">
        <v>46</v>
      </c>
      <c r="T35" s="146" t="s">
        <v>46</v>
      </c>
      <c r="U35" s="146" t="s">
        <v>46</v>
      </c>
    </row>
    <row r="36" spans="1:21" ht="19.149999999999999" customHeight="1" x14ac:dyDescent="0.35">
      <c r="A36" s="239"/>
      <c r="B36" s="287" t="s">
        <v>230</v>
      </c>
      <c r="C36" s="287"/>
      <c r="D36" s="287"/>
      <c r="E36" s="287" t="s">
        <v>231</v>
      </c>
      <c r="F36" s="287"/>
      <c r="G36" s="287"/>
      <c r="H36" s="287"/>
      <c r="I36" s="287"/>
      <c r="J36" s="348"/>
      <c r="M36" s="58">
        <v>0</v>
      </c>
      <c r="N36" s="122">
        <f>0.5*('Process (2)'!$H$66*'Input (1)'!$H$44)*'Process (3)'!M36*('Process (3)'!$I$3-'Process (3)'!M36)</f>
        <v>0</v>
      </c>
      <c r="O36" s="58">
        <f t="shared" ref="O36:O44" si="5">$I$30-N6</f>
        <v>1.0119504630245026</v>
      </c>
      <c r="P36" s="58">
        <f>'Process (2)'!R270</f>
        <v>1.74</v>
      </c>
      <c r="Q36" s="58">
        <f>'Process (2)'!R271</f>
        <v>1.31</v>
      </c>
      <c r="R36" s="58">
        <f>'Process (2)'!R272</f>
        <v>0.88</v>
      </c>
      <c r="S36" s="58">
        <f>'Process (2)'!R273</f>
        <v>0.45</v>
      </c>
      <c r="T36" s="58">
        <f>ABS(-'Process (2)'!$H$71/'Process (2)'!$H$66+('Process (3)'!N36+0.5*('Process (2)'!$H$37*('Input (1)'!$H$16*'Input (1)'!$H$46+'Input (1)'!$H$17*'Input (1)'!$H$47))*'Process (3)'!M36*('Process (3)'!$I$3-'Process (3)'!M36))/'Process (2)'!$H$166)+'Process (2)'!$H$67</f>
        <v>1.5557482865713519</v>
      </c>
      <c r="U36" s="58">
        <f>ABS(-'Process (2)'!$H$70/'Process (2)'!$H$66+'Process (3)'!N36/'Process (2)'!$H$166)</f>
        <v>0.50576415928601548</v>
      </c>
    </row>
    <row r="37" spans="1:21" ht="19.149999999999999" customHeight="1" x14ac:dyDescent="0.25">
      <c r="A37" s="241"/>
      <c r="B37" s="349"/>
      <c r="C37" s="349"/>
      <c r="D37" s="349"/>
      <c r="E37" s="349"/>
      <c r="F37" s="349"/>
      <c r="G37" s="349"/>
      <c r="H37" s="349"/>
      <c r="I37" s="349"/>
      <c r="J37" s="350"/>
      <c r="M37" s="50">
        <f>1/40*I3</f>
        <v>1</v>
      </c>
      <c r="N37" s="123">
        <f>0.5*('Process (2)'!$H$66*'Input (1)'!$H$44)*'Process (3)'!M37*('Process (3)'!$I$3-'Process (3)'!M37)</f>
        <v>352.07640000000015</v>
      </c>
      <c r="O37" s="50">
        <f t="shared" si="5"/>
        <v>0.93278529287961365</v>
      </c>
      <c r="P37" s="50">
        <f t="shared" ref="P37:P56" si="6">IF($P$36="","",$P$36-4*$I$31*M37/$I$3^2*($I$3-M37))</f>
        <v>1.610325</v>
      </c>
      <c r="Q37" s="50">
        <f t="shared" ref="Q37:Q56" si="7">IF($Q$36="","",$Q$36-4*$I$32*M37/$I$3^2*($I$3-M37))</f>
        <v>1.197875</v>
      </c>
      <c r="R37" s="50">
        <f t="shared" ref="R37:R56" si="8">$R$36-4*$I$33*M37/$I$3^2*($I$3-M37)</f>
        <v>0.80979999999999996</v>
      </c>
      <c r="S37" s="50">
        <f t="shared" ref="S37:S56" si="9">$S$36-4*$I$34*M37/$I$3^2*($I$3-M37)</f>
        <v>0.42172500000000002</v>
      </c>
      <c r="T37" s="50">
        <f>ABS(-'Process (2)'!$H$71/'Process (2)'!$H$66+('Process (3)'!N37+0.5*('Process (2)'!$H$37*('Input (1)'!$H$16*'Input (1)'!$H$46+'Input (1)'!$H$17*'Input (1)'!$H$47))*'Process (3)'!M37*('Process (3)'!$I$3-'Process (3)'!M37))/'Process (2)'!$H$166)+'Process (2)'!$H$67</f>
        <v>1.5132689357385329</v>
      </c>
      <c r="U37" s="50">
        <f>ABS(-'Process (2)'!$H$70/'Process (2)'!$H$66+'Process (3)'!N37/'Process (2)'!$H$166)</f>
        <v>0.47022077538355345</v>
      </c>
    </row>
    <row r="38" spans="1:21" ht="19.149999999999999" customHeight="1" x14ac:dyDescent="0.25">
      <c r="M38" s="50">
        <f>2/40*I3</f>
        <v>2</v>
      </c>
      <c r="N38" s="123">
        <f>0.5*('Process (2)'!$H$66*'Input (1)'!$H$44)*'Process (3)'!M38*('Process (3)'!$I$3-'Process (3)'!M38)</f>
        <v>686.09760000000028</v>
      </c>
      <c r="O38" s="50">
        <f t="shared" si="5"/>
        <v>0.85767987504984711</v>
      </c>
      <c r="P38" s="50">
        <f t="shared" si="6"/>
        <v>1.4872999999999998</v>
      </c>
      <c r="Q38" s="50">
        <f t="shared" si="7"/>
        <v>1.0914999999999999</v>
      </c>
      <c r="R38" s="50">
        <f t="shared" si="8"/>
        <v>0.74319999999999997</v>
      </c>
      <c r="S38" s="50">
        <f t="shared" si="9"/>
        <v>0.39490000000000003</v>
      </c>
      <c r="T38" s="50">
        <f>ABS(-'Process (2)'!$H$71/'Process (2)'!$H$66+('Process (3)'!N38+0.5*('Process (2)'!$H$37*('Input (1)'!$H$16*'Input (1)'!$H$46+'Input (1)'!$H$17*'Input (1)'!$H$47))*'Process (3)'!M38*('Process (3)'!$I$3-'Process (3)'!M38))/'Process (2)'!$H$166)+'Process (2)'!$H$67</f>
        <v>1.4729680131535507</v>
      </c>
      <c r="U38" s="50">
        <f>ABS(-'Process (2)'!$H$70/'Process (2)'!$H$66+'Process (3)'!N38/'Process (2)'!$H$166)</f>
        <v>0.43650012911711517</v>
      </c>
    </row>
    <row r="39" spans="1:21" ht="19.149999999999999" customHeight="1" x14ac:dyDescent="0.25">
      <c r="M39" s="50">
        <f>3/40*I3</f>
        <v>3</v>
      </c>
      <c r="N39" s="123">
        <f>0.5*('Process (2)'!$H$66*'Input (1)'!$H$44)*'Process (3)'!M39*('Process (3)'!$I$3-'Process (3)'!M39)</f>
        <v>1002.0636000000004</v>
      </c>
      <c r="O39" s="50">
        <f t="shared" si="5"/>
        <v>0.78663420953520313</v>
      </c>
      <c r="P39" s="50">
        <f t="shared" si="6"/>
        <v>1.3709249999999999</v>
      </c>
      <c r="Q39" s="50">
        <f t="shared" si="7"/>
        <v>0.99087499999999995</v>
      </c>
      <c r="R39" s="50">
        <f t="shared" si="8"/>
        <v>0.68020000000000003</v>
      </c>
      <c r="S39" s="50">
        <f t="shared" si="9"/>
        <v>0.36952499999999999</v>
      </c>
      <c r="T39" s="50">
        <f>ABS(-'Process (2)'!$H$71/'Process (2)'!$H$66+('Process (3)'!N39+0.5*('Process (2)'!$H$37*('Input (1)'!$H$16*'Input (1)'!$H$46+'Input (1)'!$H$17*'Input (1)'!$H$47))*'Process (3)'!M39*('Process (3)'!$I$3-'Process (3)'!M39))/'Process (2)'!$H$166)+'Process (2)'!$H$67</f>
        <v>1.4348455188164055</v>
      </c>
      <c r="U39" s="50">
        <f>ABS(-'Process (2)'!$H$70/'Process (2)'!$H$66+'Process (3)'!N39/'Process (2)'!$H$166)</f>
        <v>0.40460222048670053</v>
      </c>
    </row>
    <row r="40" spans="1:21" ht="19.149999999999999" customHeight="1" x14ac:dyDescent="0.25">
      <c r="M40" s="50">
        <f>4/40*I3</f>
        <v>4</v>
      </c>
      <c r="N40" s="123">
        <f>0.5*('Process (2)'!$H$66*'Input (1)'!$H$44)*'Process (3)'!M40*('Process (3)'!$I$3-'Process (3)'!M40)</f>
        <v>1299.9744000000005</v>
      </c>
      <c r="O40" s="50">
        <f t="shared" si="5"/>
        <v>0.71964829633568161</v>
      </c>
      <c r="P40" s="50">
        <f t="shared" si="6"/>
        <v>1.2611999999999999</v>
      </c>
      <c r="Q40" s="50">
        <f t="shared" si="7"/>
        <v>0.89600000000000002</v>
      </c>
      <c r="R40" s="50">
        <f t="shared" si="8"/>
        <v>0.62080000000000002</v>
      </c>
      <c r="S40" s="50">
        <f t="shared" si="9"/>
        <v>0.34560000000000002</v>
      </c>
      <c r="T40" s="50">
        <f>ABS(-'Process (2)'!$H$71/'Process (2)'!$H$66+('Process (3)'!N40+0.5*('Process (2)'!$H$37*('Input (1)'!$H$16*'Input (1)'!$H$46+'Input (1)'!$H$17*'Input (1)'!$H$47))*'Process (3)'!M40*('Process (3)'!$I$3-'Process (3)'!M40))/'Process (2)'!$H$166)+'Process (2)'!$H$67</f>
        <v>1.3989014527270971</v>
      </c>
      <c r="U40" s="50">
        <f>ABS(-'Process (2)'!$H$70/'Process (2)'!$H$66+'Process (3)'!N40/'Process (2)'!$H$166)</f>
        <v>0.37452704949230958</v>
      </c>
    </row>
    <row r="41" spans="1:21" ht="19.149999999999999" customHeight="1" x14ac:dyDescent="0.25">
      <c r="M41" s="58">
        <f>5/40*I3</f>
        <v>5</v>
      </c>
      <c r="N41" s="122">
        <f>0.5*('Process (2)'!$H$66*'Input (1)'!$H$44)*'Process (3)'!M41*('Process (3)'!$I$3-'Process (3)'!M41)</f>
        <v>1579.8300000000006</v>
      </c>
      <c r="O41" s="58">
        <f t="shared" si="5"/>
        <v>0.65672213545128266</v>
      </c>
      <c r="P41" s="58">
        <f t="shared" si="6"/>
        <v>1.1581250000000001</v>
      </c>
      <c r="Q41" s="58">
        <f t="shared" si="7"/>
        <v>0.80687500000000001</v>
      </c>
      <c r="R41" s="58">
        <f t="shared" si="8"/>
        <v>0.56499999999999995</v>
      </c>
      <c r="S41" s="58">
        <f t="shared" si="9"/>
        <v>0.323125</v>
      </c>
      <c r="T41" s="58">
        <f>ABS(-'Process (2)'!$H$71/'Process (2)'!$H$66+('Process (3)'!N41+0.5*('Process (2)'!$H$37*('Input (1)'!$H$16*'Input (1)'!$H$46+'Input (1)'!$H$17*'Input (1)'!$H$47))*'Process (3)'!M41*('Process (3)'!$I$3-'Process (3)'!M41))/'Process (2)'!$H$166)+'Process (2)'!$H$67</f>
        <v>1.3651358148856256</v>
      </c>
      <c r="U41" s="58">
        <f>ABS(-'Process (2)'!$H$70/'Process (2)'!$H$66+'Process (3)'!N41/'Process (2)'!$H$166)</f>
        <v>0.34627461613394234</v>
      </c>
    </row>
    <row r="42" spans="1:21" ht="19.149999999999999" customHeight="1" x14ac:dyDescent="0.25">
      <c r="M42" s="50">
        <f>6/40*I3</f>
        <v>6</v>
      </c>
      <c r="N42" s="123">
        <f>0.5*('Process (2)'!$H$66*'Input (1)'!$H$44)*'Process (3)'!M42*('Process (3)'!$I$3-'Process (3)'!M42)</f>
        <v>1841.6304000000007</v>
      </c>
      <c r="O42" s="50">
        <f t="shared" si="5"/>
        <v>0.59785572688200628</v>
      </c>
      <c r="P42" s="50">
        <f t="shared" si="6"/>
        <v>1.0616999999999999</v>
      </c>
      <c r="Q42" s="50">
        <f t="shared" si="7"/>
        <v>0.72350000000000003</v>
      </c>
      <c r="R42" s="50">
        <f t="shared" si="8"/>
        <v>0.51279999999999992</v>
      </c>
      <c r="S42" s="50">
        <f t="shared" si="9"/>
        <v>0.30209999999999998</v>
      </c>
      <c r="T42" s="50">
        <f>ABS(-'Process (2)'!$H$71/'Process (2)'!$H$66+('Process (3)'!N42+0.5*('Process (2)'!$H$37*('Input (1)'!$H$16*'Input (1)'!$H$46+'Input (1)'!$H$17*'Input (1)'!$H$47))*'Process (3)'!M42*('Process (3)'!$I$3-'Process (3)'!M42))/'Process (2)'!$H$166)+'Process (2)'!$H$67</f>
        <v>1.3335486052919907</v>
      </c>
      <c r="U42" s="50">
        <f>ABS(-'Process (2)'!$H$70/'Process (2)'!$H$66+'Process (3)'!N42/'Process (2)'!$H$166)</f>
        <v>0.31984492041159884</v>
      </c>
    </row>
    <row r="43" spans="1:21" ht="19.149999999999999" customHeight="1" x14ac:dyDescent="0.25">
      <c r="M43" s="50">
        <f>7/40*I3</f>
        <v>7</v>
      </c>
      <c r="N43" s="123">
        <f>0.5*('Process (2)'!$H$66*'Input (1)'!$H$44)*'Process (3)'!M43*('Process (3)'!$I$3-'Process (3)'!M43)</f>
        <v>2085.3756000000008</v>
      </c>
      <c r="O43" s="50">
        <f t="shared" si="5"/>
        <v>0.54304907062785235</v>
      </c>
      <c r="P43" s="50">
        <f t="shared" si="6"/>
        <v>0.97192499999999993</v>
      </c>
      <c r="Q43" s="50">
        <f t="shared" si="7"/>
        <v>0.64587500000000009</v>
      </c>
      <c r="R43" s="50">
        <f t="shared" si="8"/>
        <v>0.4642</v>
      </c>
      <c r="S43" s="50">
        <f t="shared" si="9"/>
        <v>0.28252500000000003</v>
      </c>
      <c r="T43" s="50">
        <f>ABS(-'Process (2)'!$H$71/'Process (2)'!$H$66+('Process (3)'!N43+0.5*('Process (2)'!$H$37*('Input (1)'!$H$16*'Input (1)'!$H$46+'Input (1)'!$H$17*'Input (1)'!$H$47))*'Process (3)'!M43*('Process (3)'!$I$3-'Process (3)'!M43))/'Process (2)'!$H$166)+'Process (2)'!$H$67</f>
        <v>1.304139823946193</v>
      </c>
      <c r="U43" s="50">
        <f>ABS(-'Process (2)'!$H$70/'Process (2)'!$H$66+'Process (3)'!N43/'Process (2)'!$H$166)</f>
        <v>0.29523796232527899</v>
      </c>
    </row>
    <row r="44" spans="1:21" ht="19.149999999999999" customHeight="1" x14ac:dyDescent="0.25">
      <c r="M44" s="50">
        <f>8/40*I3</f>
        <v>8</v>
      </c>
      <c r="N44" s="123">
        <f>0.5*('Process (2)'!$H$66*'Input (1)'!$H$44)*'Process (3)'!M44*('Process (3)'!$I$3-'Process (3)'!M44)</f>
        <v>2311.0656000000008</v>
      </c>
      <c r="O44" s="50">
        <f t="shared" si="5"/>
        <v>0.49230216668882087</v>
      </c>
      <c r="P44" s="50">
        <f t="shared" si="6"/>
        <v>0.88879999999999992</v>
      </c>
      <c r="Q44" s="50">
        <f t="shared" si="7"/>
        <v>0.57399999999999995</v>
      </c>
      <c r="R44" s="50">
        <f t="shared" si="8"/>
        <v>0.41920000000000002</v>
      </c>
      <c r="S44" s="50">
        <f t="shared" si="9"/>
        <v>0.26439999999999997</v>
      </c>
      <c r="T44" s="50">
        <f>ABS(-'Process (2)'!$H$71/'Process (2)'!$H$66+('Process (3)'!N44+0.5*('Process (2)'!$H$37*('Input (1)'!$H$16*'Input (1)'!$H$46+'Input (1)'!$H$17*'Input (1)'!$H$47))*'Process (3)'!M44*('Process (3)'!$I$3-'Process (3)'!M44))/'Process (2)'!$H$166)+'Process (2)'!$H$67</f>
        <v>1.276909470848232</v>
      </c>
      <c r="U44" s="50">
        <f>ABS(-'Process (2)'!$H$70/'Process (2)'!$H$66+'Process (3)'!N44/'Process (2)'!$H$166)</f>
        <v>0.27245374187498284</v>
      </c>
    </row>
    <row r="45" spans="1:21" ht="19.149999999999999" customHeight="1" x14ac:dyDescent="0.25">
      <c r="M45" s="50">
        <f>9/40*I3</f>
        <v>9</v>
      </c>
      <c r="N45" s="123">
        <f>0.5*('Process (2)'!$H$66*'Input (1)'!$H$44)*'Process (3)'!M45*('Process (3)'!$I$3-'Process (3)'!M45)</f>
        <v>2518.7004000000011</v>
      </c>
      <c r="O45" s="50">
        <f t="shared" ref="O45:O54" si="10">$I$30-P5</f>
        <v>0.44561501506491197</v>
      </c>
      <c r="P45" s="50">
        <f t="shared" si="6"/>
        <v>0.81232499999999996</v>
      </c>
      <c r="Q45" s="50">
        <f t="shared" si="7"/>
        <v>0.50787499999999997</v>
      </c>
      <c r="R45" s="50">
        <f t="shared" si="8"/>
        <v>0.37780000000000002</v>
      </c>
      <c r="S45" s="50">
        <f t="shared" si="9"/>
        <v>0.247725</v>
      </c>
      <c r="T45" s="50">
        <f>ABS(-'Process (2)'!$H$71/'Process (2)'!$H$66+('Process (3)'!N45+0.5*('Process (2)'!$H$37*('Input (1)'!$H$16*'Input (1)'!$H$46+'Input (1)'!$H$17*'Input (1)'!$H$47))*'Process (3)'!M45*('Process (3)'!$I$3-'Process (3)'!M45))/'Process (2)'!$H$166)+'Process (2)'!$H$67</f>
        <v>1.2518575459981081</v>
      </c>
      <c r="U45" s="50">
        <f>ABS(-'Process (2)'!$H$70/'Process (2)'!$H$66+'Process (3)'!N45/'Process (2)'!$H$166)</f>
        <v>0.25149225906071032</v>
      </c>
    </row>
    <row r="46" spans="1:21" ht="19.149999999999999" customHeight="1" x14ac:dyDescent="0.25">
      <c r="M46" s="58">
        <f>10/40*I3</f>
        <v>10</v>
      </c>
      <c r="N46" s="122">
        <f>0.5*('Process (2)'!$H$66*'Input (1)'!$H$44)*'Process (3)'!M46*('Process (3)'!$I$3-'Process (3)'!M46)</f>
        <v>2708.2800000000011</v>
      </c>
      <c r="O46" s="58">
        <f t="shared" si="10"/>
        <v>0.40298761575612563</v>
      </c>
      <c r="P46" s="58">
        <f t="shared" si="6"/>
        <v>0.74249999999999994</v>
      </c>
      <c r="Q46" s="58">
        <f t="shared" si="7"/>
        <v>0.4474999999999999</v>
      </c>
      <c r="R46" s="58">
        <f t="shared" si="8"/>
        <v>0.34000000000000008</v>
      </c>
      <c r="S46" s="58">
        <f t="shared" si="9"/>
        <v>0.23249999999999998</v>
      </c>
      <c r="T46" s="58">
        <f>ABS(-'Process (2)'!$H$71/'Process (2)'!$H$66+('Process (3)'!N46+0.5*('Process (2)'!$H$37*('Input (1)'!$H$16*'Input (1)'!$H$46+'Input (1)'!$H$17*'Input (1)'!$H$47))*'Process (3)'!M46*('Process (3)'!$I$3-'Process (3)'!M46))/'Process (2)'!$H$166)+'Process (2)'!$H$67</f>
        <v>1.2289840493958208</v>
      </c>
      <c r="U46" s="58">
        <f>ABS(-'Process (2)'!$H$70/'Process (2)'!$H$66+'Process (3)'!N46/'Process (2)'!$H$166)</f>
        <v>0.23235351388246156</v>
      </c>
    </row>
    <row r="47" spans="1:21" ht="19.149999999999999" customHeight="1" x14ac:dyDescent="0.25">
      <c r="M47" s="50">
        <f>11/40*I3</f>
        <v>11</v>
      </c>
      <c r="N47" s="123">
        <f>0.5*('Process (2)'!$H$66*'Input (1)'!$H$44)*'Process (3)'!M47*('Process (3)'!$I$3-'Process (3)'!M47)</f>
        <v>2879.8044000000009</v>
      </c>
      <c r="O47" s="50">
        <f t="shared" si="10"/>
        <v>0.36441996876246174</v>
      </c>
      <c r="P47" s="50">
        <f t="shared" si="6"/>
        <v>0.67932499999999996</v>
      </c>
      <c r="Q47" s="50">
        <f t="shared" si="7"/>
        <v>0.39287499999999986</v>
      </c>
      <c r="R47" s="50">
        <f t="shared" si="8"/>
        <v>0.30580000000000007</v>
      </c>
      <c r="S47" s="50">
        <f t="shared" si="9"/>
        <v>0.21872499999999997</v>
      </c>
      <c r="T47" s="50">
        <f>ABS(-'Process (2)'!$H$71/'Process (2)'!$H$66+('Process (3)'!N47+0.5*('Process (2)'!$H$37*('Input (1)'!$H$16*'Input (1)'!$H$46+'Input (1)'!$H$17*'Input (1)'!$H$47))*'Process (3)'!M47*('Process (3)'!$I$3-'Process (3)'!M47))/'Process (2)'!$H$166)+'Process (2)'!$H$67</f>
        <v>1.2082889810413706</v>
      </c>
      <c r="U47" s="50">
        <f>ABS(-'Process (2)'!$H$70/'Process (2)'!$H$66+'Process (3)'!N47/'Process (2)'!$H$166)</f>
        <v>0.2150375063402365</v>
      </c>
    </row>
    <row r="48" spans="1:21" ht="19.149999999999999" customHeight="1" x14ac:dyDescent="0.25">
      <c r="M48" s="50">
        <f>12/40*I3</f>
        <v>12</v>
      </c>
      <c r="N48" s="123">
        <f>0.5*('Process (2)'!$H$66*'Input (1)'!$H$44)*'Process (3)'!M48*('Process (3)'!$I$3-'Process (3)'!M48)</f>
        <v>3033.2736000000009</v>
      </c>
      <c r="O48" s="50">
        <f t="shared" si="10"/>
        <v>0.32991207408392031</v>
      </c>
      <c r="P48" s="50">
        <f t="shared" si="6"/>
        <v>0.6227999999999998</v>
      </c>
      <c r="Q48" s="50">
        <f t="shared" si="7"/>
        <v>0.34399999999999997</v>
      </c>
      <c r="R48" s="50">
        <f t="shared" si="8"/>
        <v>0.2752</v>
      </c>
      <c r="S48" s="50">
        <f t="shared" si="9"/>
        <v>0.20639999999999997</v>
      </c>
      <c r="T48" s="50">
        <f>ABS(-'Process (2)'!$H$71/'Process (2)'!$H$66+('Process (3)'!N48+0.5*('Process (2)'!$H$37*('Input (1)'!$H$16*'Input (1)'!$H$46+'Input (1)'!$H$17*'Input (1)'!$H$47))*'Process (3)'!M48*('Process (3)'!$I$3-'Process (3)'!M48))/'Process (2)'!$H$166)+'Process (2)'!$H$67</f>
        <v>1.1897723409347571</v>
      </c>
      <c r="U48" s="50">
        <f>ABS(-'Process (2)'!$H$70/'Process (2)'!$H$66+'Process (3)'!N48/'Process (2)'!$H$166)</f>
        <v>0.19954423643403507</v>
      </c>
    </row>
    <row r="49" spans="13:21" ht="19.149999999999999" customHeight="1" x14ac:dyDescent="0.25">
      <c r="M49" s="50">
        <f>13/40*I3</f>
        <v>13</v>
      </c>
      <c r="N49" s="123">
        <f>0.5*('Process (2)'!$H$66*'Input (1)'!$H$44)*'Process (3)'!M49*('Process (3)'!$I$3-'Process (3)'!M49)</f>
        <v>3168.6876000000011</v>
      </c>
      <c r="O49" s="50">
        <f t="shared" si="10"/>
        <v>0.29946393172050156</v>
      </c>
      <c r="P49" s="50">
        <f t="shared" si="6"/>
        <v>0.57292499999999991</v>
      </c>
      <c r="Q49" s="50">
        <f t="shared" si="7"/>
        <v>0.300875</v>
      </c>
      <c r="R49" s="50">
        <f t="shared" si="8"/>
        <v>0.24820000000000009</v>
      </c>
      <c r="S49" s="50">
        <f t="shared" si="9"/>
        <v>0.195525</v>
      </c>
      <c r="T49" s="50">
        <f>ABS(-'Process (2)'!$H$71/'Process (2)'!$H$66+('Process (3)'!N49+0.5*('Process (2)'!$H$37*('Input (1)'!$H$16*'Input (1)'!$H$46+'Input (1)'!$H$17*'Input (1)'!$H$47))*'Process (3)'!M49*('Process (3)'!$I$3-'Process (3)'!M49))/'Process (2)'!$H$166)+'Process (2)'!$H$67</f>
        <v>1.1734341290759807</v>
      </c>
      <c r="U49" s="50">
        <f>ABS(-'Process (2)'!$H$70/'Process (2)'!$H$66+'Process (3)'!N49/'Process (2)'!$H$166)</f>
        <v>0.1858737041638574</v>
      </c>
    </row>
    <row r="50" spans="13:21" ht="19.149999999999999" customHeight="1" x14ac:dyDescent="0.25">
      <c r="M50" s="50">
        <f>14/40*I3</f>
        <v>14</v>
      </c>
      <c r="N50" s="123">
        <f>0.5*('Process (2)'!$H$66*'Input (1)'!$H$44)*'Process (3)'!M50*('Process (3)'!$I$3-'Process (3)'!M50)</f>
        <v>3286.0464000000011</v>
      </c>
      <c r="O50" s="50">
        <f t="shared" si="10"/>
        <v>0.27307554167220527</v>
      </c>
      <c r="P50" s="50">
        <f t="shared" si="6"/>
        <v>0.52970000000000006</v>
      </c>
      <c r="Q50" s="50">
        <f t="shared" si="7"/>
        <v>0.26350000000000007</v>
      </c>
      <c r="R50" s="50">
        <f t="shared" si="8"/>
        <v>0.2248</v>
      </c>
      <c r="S50" s="50">
        <f t="shared" si="9"/>
        <v>0.18609999999999999</v>
      </c>
      <c r="T50" s="50">
        <f>ABS(-'Process (2)'!$H$71/'Process (2)'!$H$66+('Process (3)'!N50+0.5*('Process (2)'!$H$37*('Input (1)'!$H$16*'Input (1)'!$H$46+'Input (1)'!$H$17*'Input (1)'!$H$47))*'Process (3)'!M50*('Process (3)'!$I$3-'Process (3)'!M50))/'Process (2)'!$H$166)+'Process (2)'!$H$67</f>
        <v>1.1592743454650409</v>
      </c>
      <c r="U50" s="50">
        <f>ABS(-'Process (2)'!$H$70/'Process (2)'!$H$66+'Process (3)'!N50/'Process (2)'!$H$166)</f>
        <v>0.17402590952970337</v>
      </c>
    </row>
    <row r="51" spans="13:21" ht="19.149999999999999" customHeight="1" x14ac:dyDescent="0.25">
      <c r="M51" s="58">
        <f>15/40*I3</f>
        <v>15</v>
      </c>
      <c r="N51" s="122">
        <f>0.5*('Process (2)'!$H$66*'Input (1)'!$H$44)*'Process (3)'!M51*('Process (3)'!$I$3-'Process (3)'!M51)</f>
        <v>3385.3500000000013</v>
      </c>
      <c r="O51" s="58">
        <f t="shared" si="10"/>
        <v>0.25074690393903132</v>
      </c>
      <c r="P51" s="58">
        <f t="shared" si="6"/>
        <v>0.49312499999999981</v>
      </c>
      <c r="Q51" s="58">
        <f t="shared" si="7"/>
        <v>0.23187499999999983</v>
      </c>
      <c r="R51" s="58">
        <f t="shared" si="8"/>
        <v>0.20500000000000007</v>
      </c>
      <c r="S51" s="58">
        <f t="shared" si="9"/>
        <v>0.17812499999999998</v>
      </c>
      <c r="T51" s="58">
        <f>ABS(-'Process (2)'!$H$71/'Process (2)'!$H$66+('Process (3)'!N51+0.5*('Process (2)'!$H$37*('Input (1)'!$H$16*'Input (1)'!$H$46+'Input (1)'!$H$17*'Input (1)'!$H$47))*'Process (3)'!M51*('Process (3)'!$I$3-'Process (3)'!M51))/'Process (2)'!$H$166)+'Process (2)'!$H$67</f>
        <v>1.1472929901019382</v>
      </c>
      <c r="U51" s="58">
        <f>ABS(-'Process (2)'!$H$70/'Process (2)'!$H$66+'Process (3)'!N51/'Process (2)'!$H$166)</f>
        <v>0.16400085253157304</v>
      </c>
    </row>
    <row r="52" spans="13:21" ht="19.149999999999999" customHeight="1" x14ac:dyDescent="0.25">
      <c r="M52" s="50">
        <f>16/40*I3</f>
        <v>16</v>
      </c>
      <c r="N52" s="123">
        <f>0.5*('Process (2)'!$H$66*'Input (1)'!$H$44)*'Process (3)'!M52*('Process (3)'!$I$3-'Process (3)'!M52)</f>
        <v>3466.5984000000012</v>
      </c>
      <c r="O52" s="50">
        <f t="shared" si="10"/>
        <v>0.23247801852098005</v>
      </c>
      <c r="P52" s="50">
        <f t="shared" si="6"/>
        <v>0.46319999999999983</v>
      </c>
      <c r="Q52" s="50">
        <f t="shared" si="7"/>
        <v>0.20599999999999996</v>
      </c>
      <c r="R52" s="50">
        <f t="shared" si="8"/>
        <v>0.18879999999999997</v>
      </c>
      <c r="S52" s="50">
        <f t="shared" si="9"/>
        <v>0.17159999999999997</v>
      </c>
      <c r="T52" s="50">
        <f>ABS(-'Process (2)'!$H$71/'Process (2)'!$H$66+('Process (3)'!N52+0.5*('Process (2)'!$H$37*('Input (1)'!$H$16*'Input (1)'!$H$46+'Input (1)'!$H$17*'Input (1)'!$H$47))*'Process (3)'!M52*('Process (3)'!$I$3-'Process (3)'!M52))/'Process (2)'!$H$166)+'Process (2)'!$H$67</f>
        <v>1.1374900629866722</v>
      </c>
      <c r="U52" s="50">
        <f>ABS(-'Process (2)'!$H$70/'Process (2)'!$H$66+'Process (3)'!N52/'Process (2)'!$H$166)</f>
        <v>0.15579853316946646</v>
      </c>
    </row>
    <row r="53" spans="13:21" ht="19.149999999999999" customHeight="1" x14ac:dyDescent="0.25">
      <c r="M53" s="50">
        <f>17/40*I3</f>
        <v>17</v>
      </c>
      <c r="N53" s="123">
        <f>0.5*('Process (2)'!$H$66*'Input (1)'!$H$44)*'Process (3)'!M53*('Process (3)'!$I$3-'Process (3)'!M53)</f>
        <v>3529.7916000000014</v>
      </c>
      <c r="O53" s="50">
        <f t="shared" si="10"/>
        <v>0.21826888541805134</v>
      </c>
      <c r="P53" s="50">
        <f t="shared" si="6"/>
        <v>0.43992500000000012</v>
      </c>
      <c r="Q53" s="50">
        <f t="shared" si="7"/>
        <v>0.18587500000000001</v>
      </c>
      <c r="R53" s="50">
        <f t="shared" si="8"/>
        <v>0.17619999999999991</v>
      </c>
      <c r="S53" s="50">
        <f t="shared" si="9"/>
        <v>0.16652499999999998</v>
      </c>
      <c r="T53" s="50">
        <f>ABS(-'Process (2)'!$H$71/'Process (2)'!$H$66+('Process (3)'!N53+0.5*('Process (2)'!$H$37*('Input (1)'!$H$16*'Input (1)'!$H$46+'Input (1)'!$H$17*'Input (1)'!$H$47))*'Process (3)'!M53*('Process (3)'!$I$3-'Process (3)'!M53))/'Process (2)'!$H$166)+'Process (2)'!$H$67</f>
        <v>1.1298655641192432</v>
      </c>
      <c r="U53" s="50">
        <f>ABS(-'Process (2)'!$H$70/'Process (2)'!$H$66+'Process (3)'!N53/'Process (2)'!$H$166)</f>
        <v>0.14941895144338352</v>
      </c>
    </row>
    <row r="54" spans="13:21" ht="19.149999999999999" customHeight="1" x14ac:dyDescent="0.25">
      <c r="M54" s="50">
        <f>18/40*I3</f>
        <v>18</v>
      </c>
      <c r="N54" s="123">
        <f>0.5*('Process (2)'!$H$66*'Input (1)'!$H$44)*'Process (3)'!M54*('Process (3)'!$I$3-'Process (3)'!M54)</f>
        <v>3574.9296000000013</v>
      </c>
      <c r="O54" s="50">
        <f t="shared" si="10"/>
        <v>0.20811950463024498</v>
      </c>
      <c r="P54" s="50">
        <f t="shared" si="6"/>
        <v>0.42330000000000001</v>
      </c>
      <c r="Q54" s="50">
        <f t="shared" si="7"/>
        <v>0.17149999999999999</v>
      </c>
      <c r="R54" s="50">
        <f t="shared" si="8"/>
        <v>0.16720000000000002</v>
      </c>
      <c r="S54" s="50">
        <f t="shared" si="9"/>
        <v>0.16289999999999999</v>
      </c>
      <c r="T54" s="50">
        <f>ABS(-'Process (2)'!$H$71/'Process (2)'!$H$66+('Process (3)'!N54+0.5*('Process (2)'!$H$37*('Input (1)'!$H$16*'Input (1)'!$H$46+'Input (1)'!$H$17*'Input (1)'!$H$47))*'Process (3)'!M54*('Process (3)'!$I$3-'Process (3)'!M54))/'Process (2)'!$H$166)+'Process (2)'!$H$67</f>
        <v>1.124419493499651</v>
      </c>
      <c r="U54" s="50">
        <f>ABS(-'Process (2)'!$H$70/'Process (2)'!$H$66+'Process (3)'!N54/'Process (2)'!$H$166)</f>
        <v>0.14486210735332428</v>
      </c>
    </row>
    <row r="55" spans="13:21" ht="19.149999999999999" customHeight="1" x14ac:dyDescent="0.25">
      <c r="M55" s="50">
        <f>19/40*I3</f>
        <v>19</v>
      </c>
      <c r="N55" s="123">
        <f>0.5*('Process (2)'!$H$66*'Input (1)'!$H$44)*'Process (3)'!M55*('Process (3)'!$I$3-'Process (3)'!M55)</f>
        <v>3602.0124000000014</v>
      </c>
      <c r="O55" s="50">
        <f>$I$30-R5</f>
        <v>0.20202987615756118</v>
      </c>
      <c r="P55" s="50">
        <f t="shared" si="6"/>
        <v>0.41332499999999972</v>
      </c>
      <c r="Q55" s="50">
        <f t="shared" si="7"/>
        <v>0.16287499999999988</v>
      </c>
      <c r="R55" s="50">
        <f t="shared" si="8"/>
        <v>0.16179999999999994</v>
      </c>
      <c r="S55" s="50">
        <f t="shared" si="9"/>
        <v>0.16072499999999995</v>
      </c>
      <c r="T55" s="50">
        <f>ABS(-'Process (2)'!$H$71/'Process (2)'!$H$66+('Process (3)'!N55+0.5*('Process (2)'!$H$37*('Input (1)'!$H$16*'Input (1)'!$H$46+'Input (1)'!$H$17*'Input (1)'!$H$47))*'Process (3)'!M55*('Process (3)'!$I$3-'Process (3)'!M55))/'Process (2)'!$H$166)+'Process (2)'!$H$67</f>
        <v>1.1211518511278957</v>
      </c>
      <c r="U55" s="50">
        <f>ABS(-'Process (2)'!$H$70/'Process (2)'!$H$66+'Process (3)'!N55/'Process (2)'!$H$166)</f>
        <v>0.14212800089928873</v>
      </c>
    </row>
    <row r="56" spans="13:21" ht="19.149999999999999" customHeight="1" x14ac:dyDescent="0.25">
      <c r="M56" s="58">
        <f>20/40*I3</f>
        <v>20</v>
      </c>
      <c r="N56" s="122">
        <f>0.5*('Process (2)'!$H$66*'Input (1)'!$H$44)*'Process (3)'!M56*('Process (3)'!$I$3-'Process (3)'!M56)</f>
        <v>3611.0400000000018</v>
      </c>
      <c r="O56" s="58">
        <f>$I$30-R6</f>
        <v>0.19999999999999996</v>
      </c>
      <c r="P56" s="58">
        <f t="shared" si="6"/>
        <v>0.40999999999999992</v>
      </c>
      <c r="Q56" s="58">
        <f t="shared" si="7"/>
        <v>0.15999999999999992</v>
      </c>
      <c r="R56" s="58">
        <f t="shared" si="8"/>
        <v>0.16000000000000003</v>
      </c>
      <c r="S56" s="58">
        <f t="shared" si="9"/>
        <v>0.15999999999999998</v>
      </c>
      <c r="T56" s="58">
        <f>ABS(-'Process (2)'!$H$71/'Process (2)'!$H$66+('Process (3)'!N56+0.5*('Process (2)'!$H$37*('Input (1)'!$H$16*'Input (1)'!$H$46+'Input (1)'!$H$17*'Input (1)'!$H$47))*'Process (3)'!M56*('Process (3)'!$I$3-'Process (3)'!M56))/'Process (2)'!$H$166)+'Process (2)'!$H$67</f>
        <v>1.1200626370039772</v>
      </c>
      <c r="U56" s="58">
        <f>ABS(-'Process (2)'!$H$70/'Process (2)'!$H$66+'Process (3)'!N56/'Process (2)'!$H$166)</f>
        <v>0.14121663208127688</v>
      </c>
    </row>
  </sheetData>
  <mergeCells count="10">
    <mergeCell ref="B1:G1"/>
    <mergeCell ref="D20:D21"/>
    <mergeCell ref="C20:C21"/>
    <mergeCell ref="B20:B21"/>
    <mergeCell ref="G20:H20"/>
    <mergeCell ref="T33:U33"/>
    <mergeCell ref="N33:N34"/>
    <mergeCell ref="M33:M34"/>
    <mergeCell ref="P33:S33"/>
    <mergeCell ref="F20:F21"/>
  </mergeCells>
  <phoneticPr fontId="23" type="noConversion"/>
  <pageMargins left="0.7" right="0.7" top="0.75" bottom="0.75" header="0.3" footer="0.3"/>
  <pageSetup paperSize="9" orientation="portrait" horizontalDpi="4294967293" verticalDpi="0" r:id="rId1"/>
  <ignoredErrors>
    <ignoredError sqref="O5:U6 O7:U1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0EEB-130B-4092-A7E0-69B56D0F4D25}">
  <sheetPr codeName="Sheet8">
    <tabColor theme="8" tint="0.79998168889431442"/>
  </sheetPr>
  <dimension ref="A1:O149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85546875" defaultRowHeight="19.149999999999999" customHeight="1" x14ac:dyDescent="0.25"/>
  <cols>
    <col min="1" max="1" width="6.7109375" style="63" customWidth="1"/>
    <col min="2" max="7" width="13.5703125" style="1" customWidth="1"/>
    <col min="8" max="8" width="14.28515625" style="2" customWidth="1"/>
    <col min="9" max="9" width="12.140625" style="3" customWidth="1"/>
    <col min="10" max="10" width="10.42578125" style="28" customWidth="1"/>
    <col min="11" max="16384" width="8.85546875" style="1"/>
  </cols>
  <sheetData>
    <row r="1" spans="1:10" ht="18.75" customHeight="1" x14ac:dyDescent="0.25">
      <c r="A1" s="213" t="s">
        <v>870</v>
      </c>
      <c r="B1" s="596" t="s">
        <v>871</v>
      </c>
      <c r="C1" s="596"/>
      <c r="D1" s="596"/>
      <c r="E1" s="596"/>
      <c r="F1" s="596"/>
      <c r="G1" s="213" t="s">
        <v>872</v>
      </c>
      <c r="H1" s="213" t="s">
        <v>873</v>
      </c>
      <c r="I1" s="215" t="s">
        <v>874</v>
      </c>
      <c r="J1" s="1"/>
    </row>
    <row r="2" spans="1:10" ht="19.149999999999999" customHeight="1" x14ac:dyDescent="0.25">
      <c r="A2" s="239" t="s">
        <v>643</v>
      </c>
      <c r="B2" s="242" t="s">
        <v>636</v>
      </c>
      <c r="C2" s="42"/>
      <c r="D2" s="42"/>
      <c r="E2" s="42"/>
      <c r="F2" s="42"/>
      <c r="G2" s="42"/>
      <c r="H2" s="30"/>
      <c r="I2" s="243"/>
    </row>
    <row r="3" spans="1:10" ht="19.149999999999999" customHeight="1" x14ac:dyDescent="0.25">
      <c r="A3" s="239"/>
      <c r="B3" s="41" t="s">
        <v>235</v>
      </c>
      <c r="C3" s="42"/>
      <c r="D3" s="42"/>
      <c r="E3" s="42"/>
      <c r="F3" s="42"/>
      <c r="G3" s="30" t="s">
        <v>296</v>
      </c>
      <c r="H3" s="6">
        <f>'Process (2)'!H166</f>
        <v>9905.5396910481722</v>
      </c>
      <c r="I3" s="244" t="s">
        <v>40</v>
      </c>
    </row>
    <row r="4" spans="1:10" ht="19.149999999999999" customHeight="1" x14ac:dyDescent="0.25">
      <c r="A4" s="239"/>
      <c r="B4" s="41" t="s">
        <v>236</v>
      </c>
      <c r="C4" s="42"/>
      <c r="D4" s="42"/>
      <c r="E4" s="42"/>
      <c r="F4" s="42"/>
      <c r="G4" s="30" t="s">
        <v>237</v>
      </c>
      <c r="H4" s="79">
        <v>0.03</v>
      </c>
      <c r="I4" s="244"/>
    </row>
    <row r="5" spans="1:10" ht="19.149999999999999" customHeight="1" x14ac:dyDescent="0.25">
      <c r="A5" s="239"/>
      <c r="B5" s="41" t="s">
        <v>239</v>
      </c>
      <c r="C5" s="42"/>
      <c r="D5" s="42"/>
      <c r="E5" s="42"/>
      <c r="F5" s="42"/>
      <c r="G5" s="42"/>
      <c r="H5" s="42"/>
      <c r="I5" s="43"/>
    </row>
    <row r="6" spans="1:10" ht="19.149999999999999" customHeight="1" x14ac:dyDescent="0.25">
      <c r="A6" s="239"/>
      <c r="B6" s="41"/>
      <c r="C6" s="42"/>
      <c r="D6" s="42"/>
      <c r="E6" s="42"/>
      <c r="F6" s="42"/>
      <c r="G6" s="30" t="s">
        <v>954</v>
      </c>
      <c r="H6" s="67">
        <f>(1-H4)*H3</f>
        <v>9608.3735003167276</v>
      </c>
      <c r="I6" s="244" t="s">
        <v>40</v>
      </c>
    </row>
    <row r="7" spans="1:10" ht="19.149999999999999" customHeight="1" x14ac:dyDescent="0.25">
      <c r="A7" s="239"/>
      <c r="B7" s="41"/>
      <c r="C7" s="42"/>
      <c r="D7" s="42"/>
      <c r="E7" s="42"/>
      <c r="F7" s="42"/>
      <c r="G7" s="42"/>
      <c r="H7" s="30"/>
      <c r="I7" s="243"/>
    </row>
    <row r="8" spans="1:10" ht="19.149999999999999" customHeight="1" x14ac:dyDescent="0.25">
      <c r="A8" s="239" t="s">
        <v>644</v>
      </c>
      <c r="B8" s="242" t="s">
        <v>637</v>
      </c>
      <c r="C8" s="42"/>
      <c r="D8" s="42"/>
      <c r="E8" s="42"/>
      <c r="F8" s="42"/>
      <c r="G8" s="42"/>
      <c r="H8" s="30"/>
      <c r="I8" s="243"/>
    </row>
    <row r="9" spans="1:10" ht="19.149999999999999" customHeight="1" x14ac:dyDescent="0.25">
      <c r="A9" s="239"/>
      <c r="B9" s="41" t="s">
        <v>240</v>
      </c>
      <c r="C9" s="42"/>
      <c r="D9" s="42"/>
      <c r="E9" s="30" t="s">
        <v>253</v>
      </c>
      <c r="F9" s="237">
        <f>'Process (3)'!V16</f>
        <v>8.2818947228499279E-2</v>
      </c>
      <c r="G9" s="30" t="s">
        <v>254</v>
      </c>
      <c r="H9" s="67">
        <f>'Process (3)'!V17</f>
        <v>8.2818947228499279E-2</v>
      </c>
      <c r="I9" s="244" t="s">
        <v>255</v>
      </c>
    </row>
    <row r="10" spans="1:10" ht="19.149999999999999" customHeight="1" x14ac:dyDescent="0.25">
      <c r="A10" s="239"/>
      <c r="B10" s="41" t="s">
        <v>241</v>
      </c>
      <c r="C10" s="42"/>
      <c r="D10" s="42"/>
      <c r="E10" s="42"/>
      <c r="F10" s="42"/>
      <c r="G10" s="245" t="s">
        <v>256</v>
      </c>
      <c r="H10" s="67">
        <f>F9+H9</f>
        <v>0.16563789445699856</v>
      </c>
      <c r="I10" s="244"/>
    </row>
    <row r="11" spans="1:10" ht="19.149999999999999" customHeight="1" x14ac:dyDescent="0.25">
      <c r="A11" s="239"/>
      <c r="B11" s="246" t="s">
        <v>242</v>
      </c>
      <c r="C11" s="247"/>
      <c r="D11" s="247"/>
      <c r="E11" s="247"/>
      <c r="F11" s="247"/>
      <c r="G11" s="57" t="s">
        <v>252</v>
      </c>
      <c r="H11" s="208">
        <v>0.06</v>
      </c>
      <c r="I11" s="248"/>
    </row>
    <row r="12" spans="1:10" ht="19.149999999999999" customHeight="1" x14ac:dyDescent="0.25">
      <c r="A12" s="239"/>
      <c r="B12" s="246" t="s">
        <v>243</v>
      </c>
      <c r="C12" s="247"/>
      <c r="D12" s="247"/>
      <c r="E12" s="247"/>
      <c r="F12" s="247"/>
      <c r="G12" s="249" t="s">
        <v>299</v>
      </c>
      <c r="H12" s="208">
        <v>5.0000000000000001E-4</v>
      </c>
      <c r="I12" s="248"/>
    </row>
    <row r="13" spans="1:10" ht="19.149999999999999" customHeight="1" x14ac:dyDescent="0.25">
      <c r="A13" s="239"/>
      <c r="B13" s="41" t="s">
        <v>244</v>
      </c>
      <c r="C13" s="42"/>
      <c r="D13" s="42"/>
      <c r="E13" s="42"/>
      <c r="F13" s="42"/>
      <c r="G13" s="42"/>
      <c r="H13" s="30"/>
      <c r="I13" s="243"/>
    </row>
    <row r="14" spans="1:10" ht="19.149999999999999" customHeight="1" x14ac:dyDescent="0.25">
      <c r="A14" s="239"/>
      <c r="B14" s="41"/>
      <c r="C14" s="42" t="s">
        <v>955</v>
      </c>
      <c r="D14" s="17">
        <f>0.5*'Input (1)'!H24+0.4</f>
        <v>20.399999999999999</v>
      </c>
      <c r="E14" s="42" t="s">
        <v>2</v>
      </c>
      <c r="F14" s="42"/>
      <c r="G14" s="30" t="s">
        <v>956</v>
      </c>
      <c r="H14" s="67">
        <f>H6*EXP(-(H11*H10+H12*D14))</f>
        <v>9416.8127703820446</v>
      </c>
      <c r="I14" s="244" t="s">
        <v>40</v>
      </c>
    </row>
    <row r="15" spans="1:10" ht="19.149999999999999" customHeight="1" x14ac:dyDescent="0.25">
      <c r="A15" s="239"/>
      <c r="B15" s="41"/>
      <c r="C15" s="42" t="s">
        <v>955</v>
      </c>
      <c r="D15" s="17">
        <f>2*D14</f>
        <v>40.799999999999997</v>
      </c>
      <c r="E15" s="42" t="s">
        <v>2</v>
      </c>
      <c r="F15" s="42"/>
      <c r="G15" s="30" t="s">
        <v>956</v>
      </c>
      <c r="H15" s="67">
        <f>H6*EXP(-(H11*H10+H12*D15))</f>
        <v>9321.2494814300808</v>
      </c>
      <c r="I15" s="244" t="s">
        <v>40</v>
      </c>
    </row>
    <row r="16" spans="1:10" ht="19.149999999999999" customHeight="1" x14ac:dyDescent="0.25">
      <c r="A16" s="239"/>
      <c r="B16" s="41"/>
      <c r="C16" s="42"/>
      <c r="D16" s="42"/>
      <c r="E16" s="42"/>
      <c r="F16" s="42"/>
      <c r="G16" s="42"/>
      <c r="H16" s="30"/>
      <c r="I16" s="243"/>
    </row>
    <row r="17" spans="1:12" ht="19.149999999999999" customHeight="1" x14ac:dyDescent="0.25">
      <c r="A17" s="239" t="s">
        <v>645</v>
      </c>
      <c r="B17" s="242" t="s">
        <v>638</v>
      </c>
      <c r="C17" s="42"/>
      <c r="D17" s="42"/>
      <c r="E17" s="42"/>
      <c r="F17" s="42"/>
      <c r="G17" s="42"/>
      <c r="H17" s="30"/>
      <c r="I17" s="243"/>
    </row>
    <row r="18" spans="1:12" ht="19.149999999999999" customHeight="1" x14ac:dyDescent="0.25">
      <c r="A18" s="239"/>
      <c r="B18" s="246" t="s">
        <v>258</v>
      </c>
      <c r="C18" s="247"/>
      <c r="D18" s="247"/>
      <c r="E18" s="247"/>
      <c r="F18" s="247"/>
      <c r="G18" s="57" t="s">
        <v>204</v>
      </c>
      <c r="H18" s="69">
        <f>'Process (3)'!I4</f>
        <v>0.81195046302450269</v>
      </c>
      <c r="I18" s="248" t="s">
        <v>2</v>
      </c>
    </row>
    <row r="19" spans="1:12" ht="19.149999999999999" customHeight="1" x14ac:dyDescent="0.25">
      <c r="A19" s="239"/>
      <c r="B19" s="246" t="s">
        <v>259</v>
      </c>
      <c r="C19" s="247"/>
      <c r="D19" s="247"/>
      <c r="E19" s="247"/>
      <c r="F19" s="247"/>
      <c r="G19" s="57" t="s">
        <v>245</v>
      </c>
      <c r="H19" s="69">
        <f>'Process (2)'!H69</f>
        <v>0.41398802635392218</v>
      </c>
      <c r="I19" s="248" t="s">
        <v>128</v>
      </c>
    </row>
    <row r="20" spans="1:12" ht="19.149999999999999" customHeight="1" x14ac:dyDescent="0.25">
      <c r="A20" s="239"/>
      <c r="B20" s="246" t="s">
        <v>260</v>
      </c>
      <c r="C20" s="247"/>
      <c r="D20" s="247"/>
      <c r="E20" s="247"/>
      <c r="F20" s="247"/>
      <c r="G20" s="57" t="s">
        <v>108</v>
      </c>
      <c r="H20" s="69">
        <f>'Process (2)'!H66</f>
        <v>0.75230000000000019</v>
      </c>
      <c r="I20" s="248" t="s">
        <v>127</v>
      </c>
    </row>
    <row r="21" spans="1:12" ht="19.149999999999999" customHeight="1" x14ac:dyDescent="0.25">
      <c r="A21" s="239"/>
      <c r="B21" s="246" t="s">
        <v>304</v>
      </c>
      <c r="C21" s="247"/>
      <c r="D21" s="247"/>
      <c r="E21" s="247"/>
      <c r="F21" s="247"/>
      <c r="G21" s="57" t="s">
        <v>246</v>
      </c>
      <c r="H21" s="73">
        <f>4700*'Process (5)'!H3^0.5</f>
        <v>29725.410005582766</v>
      </c>
      <c r="I21" s="248" t="s">
        <v>28</v>
      </c>
    </row>
    <row r="22" spans="1:12" ht="19.149999999999999" customHeight="1" x14ac:dyDescent="0.25">
      <c r="A22" s="239"/>
      <c r="B22" s="246" t="s">
        <v>261</v>
      </c>
      <c r="C22" s="247"/>
      <c r="D22" s="247"/>
      <c r="E22" s="247"/>
      <c r="F22" s="247"/>
      <c r="G22" s="57" t="s">
        <v>247</v>
      </c>
      <c r="H22" s="77">
        <f>'Input (1)'!H59</f>
        <v>193000</v>
      </c>
      <c r="I22" s="248" t="s">
        <v>28</v>
      </c>
    </row>
    <row r="23" spans="1:12" ht="19.149999999999999" customHeight="1" x14ac:dyDescent="0.25">
      <c r="A23" s="239"/>
      <c r="B23" s="246" t="s">
        <v>262</v>
      </c>
      <c r="C23" s="247"/>
      <c r="D23" s="247"/>
      <c r="E23" s="247"/>
      <c r="F23" s="247"/>
      <c r="G23" s="57" t="s">
        <v>162</v>
      </c>
      <c r="H23" s="77">
        <f>'Process (2)'!H249</f>
        <v>68</v>
      </c>
      <c r="I23" s="248"/>
    </row>
    <row r="24" spans="1:12" ht="19.149999999999999" customHeight="1" x14ac:dyDescent="0.25">
      <c r="A24" s="239"/>
      <c r="B24" s="246" t="s">
        <v>263</v>
      </c>
      <c r="C24" s="247"/>
      <c r="D24" s="247"/>
      <c r="E24" s="247"/>
      <c r="F24" s="247"/>
      <c r="G24" s="57" t="s">
        <v>248</v>
      </c>
      <c r="H24" s="80">
        <f>'Input (1)'!H57/10^6</f>
        <v>9.87E-5</v>
      </c>
      <c r="I24" s="248" t="s">
        <v>127</v>
      </c>
    </row>
    <row r="25" spans="1:12" ht="19.149999999999999" customHeight="1" x14ac:dyDescent="0.25">
      <c r="A25" s="239"/>
      <c r="B25" s="246" t="s">
        <v>264</v>
      </c>
      <c r="C25" s="247"/>
      <c r="D25" s="247"/>
      <c r="E25" s="247"/>
      <c r="F25" s="247"/>
      <c r="G25" s="57" t="s">
        <v>159</v>
      </c>
      <c r="H25" s="81">
        <f>'Input (1)'!H58</f>
        <v>183.58199999999999</v>
      </c>
      <c r="I25" s="248" t="s">
        <v>40</v>
      </c>
    </row>
    <row r="26" spans="1:12" ht="19.149999999999999" customHeight="1" x14ac:dyDescent="0.25">
      <c r="A26" s="239"/>
      <c r="B26" s="246" t="s">
        <v>139</v>
      </c>
      <c r="C26" s="247"/>
      <c r="D26" s="247"/>
      <c r="E26" s="247"/>
      <c r="F26" s="247"/>
      <c r="G26" s="251" t="s">
        <v>146</v>
      </c>
      <c r="H26" s="25">
        <f>'Process (2)'!H140</f>
        <v>3611.0400000000013</v>
      </c>
      <c r="I26" s="256" t="s">
        <v>42</v>
      </c>
      <c r="K26" s="59"/>
      <c r="L26" s="59"/>
    </row>
    <row r="27" spans="1:12" ht="19.149999999999999" customHeight="1" x14ac:dyDescent="0.25">
      <c r="A27" s="239"/>
      <c r="B27" s="246" t="s">
        <v>265</v>
      </c>
      <c r="C27" s="247"/>
      <c r="D27" s="247"/>
      <c r="E27" s="247"/>
      <c r="F27" s="247"/>
      <c r="G27" s="57" t="s">
        <v>249</v>
      </c>
      <c r="H27" s="69">
        <f>H23*H24</f>
        <v>6.7115999999999999E-3</v>
      </c>
      <c r="I27" s="248" t="s">
        <v>127</v>
      </c>
      <c r="K27" s="59"/>
      <c r="L27" s="59"/>
    </row>
    <row r="28" spans="1:12" ht="19.149999999999999" customHeight="1" x14ac:dyDescent="0.25">
      <c r="A28" s="239"/>
      <c r="B28" s="246" t="s">
        <v>266</v>
      </c>
      <c r="C28" s="247"/>
      <c r="D28" s="247"/>
      <c r="E28" s="247"/>
      <c r="F28" s="247"/>
      <c r="G28" s="57" t="s">
        <v>250</v>
      </c>
      <c r="H28" s="69">
        <f>H22/H21</f>
        <v>6.4927615788563537</v>
      </c>
      <c r="I28" s="248"/>
      <c r="K28" s="59"/>
      <c r="L28" s="59"/>
    </row>
    <row r="29" spans="1:12" ht="19.149999999999999" customHeight="1" x14ac:dyDescent="0.25">
      <c r="A29" s="239"/>
      <c r="B29" s="246" t="s">
        <v>267</v>
      </c>
      <c r="C29" s="247"/>
      <c r="D29" s="247"/>
      <c r="E29" s="247"/>
      <c r="F29" s="247"/>
      <c r="G29" s="57" t="s">
        <v>251</v>
      </c>
      <c r="H29" s="69">
        <f>(H19/H20)^0.5</f>
        <v>0.74181969462258879</v>
      </c>
      <c r="I29" s="248" t="s">
        <v>2</v>
      </c>
      <c r="K29" s="59"/>
      <c r="L29" s="59"/>
    </row>
    <row r="30" spans="1:12" ht="19.149999999999999" customHeight="1" x14ac:dyDescent="0.25">
      <c r="A30" s="239"/>
      <c r="B30" s="246" t="s">
        <v>257</v>
      </c>
      <c r="C30" s="247"/>
      <c r="D30" s="247"/>
      <c r="E30" s="247"/>
      <c r="F30" s="247"/>
      <c r="G30" s="57" t="s">
        <v>564</v>
      </c>
      <c r="H30" s="69">
        <f>H27/H20*(1+H18^2/H29^2)</f>
        <v>1.960946324869792E-2</v>
      </c>
      <c r="I30" s="248"/>
      <c r="K30" s="59"/>
      <c r="L30" s="59"/>
    </row>
    <row r="31" spans="1:12" ht="19.149999999999999" customHeight="1" x14ac:dyDescent="0.25">
      <c r="A31" s="239"/>
      <c r="B31" s="246" t="s">
        <v>268</v>
      </c>
      <c r="C31" s="247"/>
      <c r="D31" s="247"/>
      <c r="E31" s="247"/>
      <c r="F31" s="247"/>
      <c r="G31" s="247"/>
      <c r="H31" s="57"/>
      <c r="I31" s="250"/>
      <c r="J31" s="66"/>
      <c r="K31" s="59"/>
      <c r="L31" s="59"/>
    </row>
    <row r="32" spans="1:12" ht="19.149999999999999" customHeight="1" x14ac:dyDescent="0.25">
      <c r="A32" s="239"/>
      <c r="B32" s="246"/>
      <c r="C32" s="247"/>
      <c r="D32" s="247"/>
      <c r="E32" s="247"/>
      <c r="F32" s="247"/>
      <c r="G32" s="251" t="s">
        <v>273</v>
      </c>
      <c r="H32" s="82">
        <f>H23*H25/H27</f>
        <v>1860000</v>
      </c>
      <c r="I32" s="248" t="s">
        <v>135</v>
      </c>
      <c r="K32" s="59"/>
      <c r="L32" s="59"/>
    </row>
    <row r="33" spans="1:9" ht="19.149999999999999" customHeight="1" x14ac:dyDescent="0.25">
      <c r="A33" s="239"/>
      <c r="B33" s="246" t="s">
        <v>269</v>
      </c>
      <c r="C33" s="247"/>
      <c r="D33" s="247"/>
      <c r="E33" s="247"/>
      <c r="F33" s="247"/>
      <c r="G33" s="57"/>
      <c r="H33" s="252"/>
      <c r="I33" s="248"/>
    </row>
    <row r="34" spans="1:9" ht="19.149999999999999" customHeight="1" x14ac:dyDescent="0.25">
      <c r="A34" s="239"/>
      <c r="B34" s="246"/>
      <c r="C34" s="247"/>
      <c r="D34" s="247"/>
      <c r="E34" s="247"/>
      <c r="F34" s="247"/>
      <c r="G34" s="251" t="s">
        <v>274</v>
      </c>
      <c r="H34" s="81">
        <f>H32*H28*H30/(1+H28*H30)</f>
        <v>210068.56066484639</v>
      </c>
      <c r="I34" s="248" t="s">
        <v>135</v>
      </c>
    </row>
    <row r="35" spans="1:9" ht="19.149999999999999" customHeight="1" x14ac:dyDescent="0.25">
      <c r="A35" s="239"/>
      <c r="B35" s="246" t="s">
        <v>270</v>
      </c>
      <c r="C35" s="247"/>
      <c r="D35" s="247"/>
      <c r="E35" s="247"/>
      <c r="F35" s="247"/>
      <c r="G35" s="57"/>
      <c r="H35" s="252"/>
      <c r="I35" s="248"/>
    </row>
    <row r="36" spans="1:9" ht="19.149999999999999" customHeight="1" x14ac:dyDescent="0.25">
      <c r="A36" s="239"/>
      <c r="B36" s="246"/>
      <c r="C36" s="247"/>
      <c r="D36" s="247"/>
      <c r="E36" s="247"/>
      <c r="F36" s="247"/>
      <c r="G36" s="251" t="s">
        <v>275</v>
      </c>
      <c r="H36" s="81">
        <f>H34/H28-H26*H18/H19</f>
        <v>25271.974268162307</v>
      </c>
      <c r="I36" s="248" t="s">
        <v>135</v>
      </c>
    </row>
    <row r="37" spans="1:9" ht="19.149999999999999" customHeight="1" x14ac:dyDescent="0.25">
      <c r="A37" s="239"/>
      <c r="B37" s="246" t="s">
        <v>271</v>
      </c>
      <c r="C37" s="247"/>
      <c r="D37" s="247"/>
      <c r="E37" s="247"/>
      <c r="F37" s="247"/>
      <c r="G37" s="57"/>
      <c r="H37" s="252"/>
      <c r="I37" s="248"/>
    </row>
    <row r="38" spans="1:9" ht="19.149999999999999" customHeight="1" x14ac:dyDescent="0.25">
      <c r="A38" s="239"/>
      <c r="B38" s="246"/>
      <c r="C38" s="247"/>
      <c r="D38" s="247"/>
      <c r="E38" s="247"/>
      <c r="F38" s="247"/>
      <c r="G38" s="251" t="s">
        <v>276</v>
      </c>
      <c r="H38" s="81">
        <f>0.5*H28*H36</f>
        <v>82042.451775085327</v>
      </c>
      <c r="I38" s="248" t="s">
        <v>135</v>
      </c>
    </row>
    <row r="39" spans="1:9" ht="19.149999999999999" customHeight="1" x14ac:dyDescent="0.25">
      <c r="A39" s="239"/>
      <c r="B39" s="246" t="s">
        <v>272</v>
      </c>
      <c r="C39" s="247"/>
      <c r="D39" s="247"/>
      <c r="E39" s="247"/>
      <c r="F39" s="247"/>
      <c r="G39" s="251" t="s">
        <v>376</v>
      </c>
      <c r="H39" s="81">
        <f>H38*H27</f>
        <v>550.63611933366269</v>
      </c>
      <c r="I39" s="248" t="s">
        <v>40</v>
      </c>
    </row>
    <row r="40" spans="1:9" ht="19.149999999999999" customHeight="1" x14ac:dyDescent="0.25">
      <c r="A40" s="239"/>
      <c r="B40" s="41"/>
      <c r="C40" s="42"/>
      <c r="D40" s="42"/>
      <c r="E40" s="42"/>
      <c r="F40" s="42"/>
      <c r="G40" s="42"/>
      <c r="H40" s="30"/>
      <c r="I40" s="243"/>
    </row>
    <row r="41" spans="1:9" ht="19.149999999999999" customHeight="1" x14ac:dyDescent="0.25">
      <c r="A41" s="239" t="s">
        <v>1320</v>
      </c>
      <c r="B41" s="242" t="s">
        <v>639</v>
      </c>
      <c r="C41" s="42"/>
      <c r="D41" s="42"/>
      <c r="E41" s="42"/>
      <c r="F41" s="42"/>
      <c r="G41" s="42"/>
      <c r="H41" s="30"/>
      <c r="I41" s="243"/>
    </row>
    <row r="42" spans="1:9" ht="19.149999999999999" customHeight="1" x14ac:dyDescent="0.25">
      <c r="A42" s="239"/>
      <c r="B42" s="41" t="s">
        <v>277</v>
      </c>
      <c r="C42" s="42"/>
      <c r="D42" s="42"/>
      <c r="E42" s="42"/>
      <c r="F42" s="42"/>
      <c r="G42" s="253" t="s">
        <v>284</v>
      </c>
      <c r="H42" s="207">
        <f>0.002</f>
        <v>2E-3</v>
      </c>
      <c r="I42" s="244" t="s">
        <v>2</v>
      </c>
    </row>
    <row r="43" spans="1:9" ht="19.149999999999999" customHeight="1" x14ac:dyDescent="0.25">
      <c r="A43" s="239"/>
      <c r="B43" s="41" t="s">
        <v>278</v>
      </c>
      <c r="C43" s="42"/>
      <c r="D43" s="42"/>
      <c r="E43" s="42"/>
      <c r="F43" s="42"/>
      <c r="G43" s="30" t="s">
        <v>247</v>
      </c>
      <c r="H43" s="207">
        <f>H22</f>
        <v>193000</v>
      </c>
      <c r="I43" s="244" t="s">
        <v>28</v>
      </c>
    </row>
    <row r="44" spans="1:9" ht="19.149999999999999" customHeight="1" x14ac:dyDescent="0.25">
      <c r="A44" s="239"/>
      <c r="B44" s="41" t="s">
        <v>265</v>
      </c>
      <c r="C44" s="42"/>
      <c r="D44" s="42"/>
      <c r="E44" s="42"/>
      <c r="F44" s="42"/>
      <c r="G44" s="30" t="s">
        <v>285</v>
      </c>
      <c r="H44" s="20">
        <f>H27</f>
        <v>6.7115999999999999E-3</v>
      </c>
      <c r="I44" s="244" t="s">
        <v>127</v>
      </c>
    </row>
    <row r="45" spans="1:9" ht="19.149999999999999" customHeight="1" x14ac:dyDescent="0.25">
      <c r="A45" s="239"/>
      <c r="B45" s="41" t="s">
        <v>279</v>
      </c>
      <c r="C45" s="42"/>
      <c r="D45" s="42"/>
      <c r="E45" s="42"/>
      <c r="F45" s="42"/>
      <c r="G45" s="30" t="s">
        <v>286</v>
      </c>
      <c r="H45" s="67">
        <f>H6</f>
        <v>9608.3735003167276</v>
      </c>
      <c r="I45" s="244" t="s">
        <v>40</v>
      </c>
    </row>
    <row r="46" spans="1:9" ht="19.149999999999999" customHeight="1" x14ac:dyDescent="0.25">
      <c r="A46" s="239"/>
      <c r="B46" s="41" t="s">
        <v>280</v>
      </c>
      <c r="C46" s="42"/>
      <c r="D46" s="42"/>
      <c r="E46" s="42"/>
      <c r="F46" s="42"/>
      <c r="G46" s="30" t="s">
        <v>287</v>
      </c>
      <c r="H46" s="67">
        <f>H14</f>
        <v>9416.8127703820446</v>
      </c>
      <c r="I46" s="244" t="s">
        <v>40</v>
      </c>
    </row>
    <row r="47" spans="1:9" ht="19.149999999999999" customHeight="1" x14ac:dyDescent="0.25">
      <c r="A47" s="239"/>
      <c r="B47" s="41" t="s">
        <v>281</v>
      </c>
      <c r="C47" s="42"/>
      <c r="D47" s="42"/>
      <c r="E47" s="42"/>
      <c r="F47" s="42"/>
      <c r="G47" s="30" t="s">
        <v>288</v>
      </c>
      <c r="H47" s="6">
        <f>D14</f>
        <v>20.399999999999999</v>
      </c>
      <c r="I47" s="244" t="s">
        <v>2</v>
      </c>
    </row>
    <row r="48" spans="1:9" ht="19.149999999999999" customHeight="1" x14ac:dyDescent="0.25">
      <c r="A48" s="239"/>
      <c r="B48" s="41" t="s">
        <v>282</v>
      </c>
      <c r="C48" s="42"/>
      <c r="D48" s="42"/>
      <c r="E48" s="42"/>
      <c r="F48" s="42"/>
      <c r="G48" s="30" t="s">
        <v>289</v>
      </c>
      <c r="H48" s="67">
        <f>(H45-H46)/H47</f>
        <v>9.3902318595432828</v>
      </c>
      <c r="I48" s="244" t="s">
        <v>39</v>
      </c>
    </row>
    <row r="49" spans="1:15" ht="19.149999999999999" customHeight="1" x14ac:dyDescent="0.25">
      <c r="A49" s="239"/>
      <c r="B49" s="41" t="s">
        <v>283</v>
      </c>
      <c r="C49" s="42"/>
      <c r="D49" s="42"/>
      <c r="E49" s="42"/>
      <c r="F49" s="42"/>
      <c r="G49" s="30" t="s">
        <v>290</v>
      </c>
      <c r="H49" s="67">
        <f>(H42*H43*1000*H44/H48)^0.5</f>
        <v>16.609957725572155</v>
      </c>
      <c r="I49" s="244" t="s">
        <v>2</v>
      </c>
    </row>
    <row r="50" spans="1:15" ht="19.149999999999999" customHeight="1" x14ac:dyDescent="0.25">
      <c r="A50" s="239"/>
      <c r="B50" s="41" t="s">
        <v>294</v>
      </c>
      <c r="C50" s="42"/>
      <c r="D50" s="42"/>
      <c r="E50" s="42"/>
      <c r="F50" s="42"/>
      <c r="G50" s="253" t="s">
        <v>291</v>
      </c>
      <c r="H50" s="67">
        <f>2*H49*H48</f>
        <v>311.94270844066943</v>
      </c>
      <c r="I50" s="244" t="s">
        <v>40</v>
      </c>
    </row>
    <row r="51" spans="1:15" ht="19.149999999999999" customHeight="1" x14ac:dyDescent="0.25">
      <c r="A51" s="239"/>
      <c r="B51" s="41"/>
      <c r="C51" s="42"/>
      <c r="D51" s="42"/>
      <c r="E51" s="42"/>
      <c r="F51" s="42"/>
      <c r="G51" s="30" t="s">
        <v>292</v>
      </c>
      <c r="H51" s="67">
        <f>H45-H50/2</f>
        <v>9452.4021460963922</v>
      </c>
      <c r="I51" s="244" t="s">
        <v>40</v>
      </c>
    </row>
    <row r="52" spans="1:15" ht="19.149999999999999" customHeight="1" x14ac:dyDescent="0.25">
      <c r="A52" s="239"/>
      <c r="B52" s="41" t="s">
        <v>295</v>
      </c>
      <c r="C52" s="42"/>
      <c r="D52" s="42"/>
      <c r="E52" s="42"/>
      <c r="F52" s="42"/>
      <c r="G52" s="30" t="s">
        <v>377</v>
      </c>
      <c r="H52" s="67">
        <f>H51-H39</f>
        <v>8901.7660267627289</v>
      </c>
      <c r="I52" s="244" t="s">
        <v>40</v>
      </c>
    </row>
    <row r="53" spans="1:15" ht="19.149999999999999" customHeight="1" x14ac:dyDescent="0.25">
      <c r="A53" s="239"/>
      <c r="B53" s="41"/>
      <c r="C53" s="42"/>
      <c r="D53" s="42"/>
      <c r="E53" s="42"/>
      <c r="F53" s="42"/>
      <c r="G53" s="42"/>
      <c r="H53" s="30"/>
      <c r="I53" s="243"/>
    </row>
    <row r="54" spans="1:15" ht="19.149999999999999" customHeight="1" x14ac:dyDescent="0.25">
      <c r="A54" s="239" t="s">
        <v>1321</v>
      </c>
      <c r="B54" s="242" t="s">
        <v>640</v>
      </c>
      <c r="C54" s="42"/>
      <c r="D54" s="42"/>
      <c r="E54" s="42"/>
      <c r="F54" s="42"/>
      <c r="G54" s="42"/>
      <c r="H54" s="30"/>
      <c r="I54" s="243"/>
    </row>
    <row r="55" spans="1:15" ht="19.149999999999999" customHeight="1" x14ac:dyDescent="0.25">
      <c r="A55" s="239"/>
      <c r="B55" s="254" t="s">
        <v>379</v>
      </c>
      <c r="C55" s="42"/>
      <c r="D55" s="42"/>
      <c r="E55" s="42"/>
      <c r="F55" s="42"/>
      <c r="G55" s="42"/>
      <c r="H55" s="30"/>
      <c r="I55" s="243"/>
    </row>
    <row r="56" spans="1:15" ht="19.149999999999999" customHeight="1" x14ac:dyDescent="0.25">
      <c r="A56" s="239"/>
      <c r="B56" s="254" t="s">
        <v>325</v>
      </c>
      <c r="C56" s="42"/>
      <c r="D56" s="30" t="s">
        <v>41</v>
      </c>
      <c r="E56" s="234">
        <v>70</v>
      </c>
      <c r="F56" s="42" t="s">
        <v>336</v>
      </c>
      <c r="G56" s="30" t="s">
        <v>343</v>
      </c>
      <c r="H56" s="20">
        <f>1.27-0.0067*E56</f>
        <v>0.80099999999999993</v>
      </c>
      <c r="I56" s="243"/>
    </row>
    <row r="57" spans="1:15" ht="19.149999999999999" customHeight="1" x14ac:dyDescent="0.25">
      <c r="A57" s="239"/>
      <c r="B57" s="254" t="s">
        <v>326</v>
      </c>
      <c r="C57" s="42"/>
      <c r="D57" s="30" t="s">
        <v>331</v>
      </c>
      <c r="E57" s="208">
        <v>15</v>
      </c>
      <c r="F57" s="42" t="s">
        <v>334</v>
      </c>
      <c r="G57" s="30" t="s">
        <v>344</v>
      </c>
      <c r="H57" s="20">
        <f>1.12-0.0079*E57</f>
        <v>1.0015000000000001</v>
      </c>
      <c r="I57" s="243"/>
    </row>
    <row r="58" spans="1:15" ht="19.149999999999999" customHeight="1" x14ac:dyDescent="0.25">
      <c r="A58" s="239"/>
      <c r="B58" s="254" t="s">
        <v>327</v>
      </c>
      <c r="C58" s="42"/>
      <c r="D58" s="30" t="s">
        <v>11</v>
      </c>
      <c r="E58" s="208">
        <v>7.5</v>
      </c>
      <c r="F58" s="42" t="s">
        <v>334</v>
      </c>
      <c r="G58" s="30" t="s">
        <v>345</v>
      </c>
      <c r="H58" s="20">
        <f>0.82-0.026*E58</f>
        <v>0.625</v>
      </c>
      <c r="I58" s="243"/>
    </row>
    <row r="59" spans="1:15" ht="19.149999999999999" customHeight="1" x14ac:dyDescent="0.25">
      <c r="A59" s="239"/>
      <c r="B59" s="254" t="s">
        <v>328</v>
      </c>
      <c r="C59" s="42"/>
      <c r="D59" s="30" t="s">
        <v>332</v>
      </c>
      <c r="E59" s="235">
        <v>50</v>
      </c>
      <c r="F59" s="42" t="s">
        <v>336</v>
      </c>
      <c r="G59" s="30" t="s">
        <v>346</v>
      </c>
      <c r="H59" s="20">
        <f>0.88+0.0024*E59</f>
        <v>1</v>
      </c>
      <c r="I59" s="243"/>
    </row>
    <row r="60" spans="1:15" ht="19.149999999999999" customHeight="1" x14ac:dyDescent="0.25">
      <c r="A60" s="239"/>
      <c r="B60" s="254" t="s">
        <v>348</v>
      </c>
      <c r="C60" s="42"/>
      <c r="D60" s="30" t="s">
        <v>350</v>
      </c>
      <c r="E60" s="208">
        <v>28</v>
      </c>
      <c r="F60" s="42" t="s">
        <v>324</v>
      </c>
      <c r="G60" s="30" t="s">
        <v>349</v>
      </c>
      <c r="H60" s="20">
        <f>1.25*E60^(-0.118)</f>
        <v>0.84361708264360946</v>
      </c>
      <c r="I60" s="243"/>
    </row>
    <row r="61" spans="1:15" ht="19.149999999999999" customHeight="1" x14ac:dyDescent="0.25">
      <c r="A61" s="239"/>
      <c r="B61" s="254" t="s">
        <v>330</v>
      </c>
      <c r="C61" s="42"/>
      <c r="D61" s="30" t="s">
        <v>333</v>
      </c>
      <c r="E61" s="235">
        <v>6</v>
      </c>
      <c r="F61" s="42" t="s">
        <v>336</v>
      </c>
      <c r="G61" s="30" t="s">
        <v>347</v>
      </c>
      <c r="H61" s="20">
        <f>0.46+0.09*E61</f>
        <v>1</v>
      </c>
      <c r="I61" s="243"/>
    </row>
    <row r="62" spans="1:15" ht="19.149999999999999" customHeight="1" x14ac:dyDescent="0.25">
      <c r="A62" s="239"/>
      <c r="B62" s="41" t="s">
        <v>300</v>
      </c>
      <c r="C62" s="42"/>
      <c r="D62" s="42"/>
      <c r="E62" s="42"/>
      <c r="F62" s="42"/>
      <c r="G62" s="30" t="s">
        <v>351</v>
      </c>
      <c r="H62" s="20">
        <f>2.35*H56*H57*H58*H59*H60*H61</f>
        <v>0.99397786839841851</v>
      </c>
      <c r="I62" s="244"/>
    </row>
    <row r="63" spans="1:15" ht="19.149999999999999" customHeight="1" x14ac:dyDescent="0.25">
      <c r="A63" s="239"/>
      <c r="B63" s="246" t="s">
        <v>301</v>
      </c>
      <c r="C63" s="247"/>
      <c r="D63" s="247"/>
      <c r="E63" s="247"/>
      <c r="F63" s="247"/>
      <c r="G63" s="57" t="s">
        <v>302</v>
      </c>
      <c r="H63" s="238">
        <v>28</v>
      </c>
      <c r="I63" s="248" t="s">
        <v>324</v>
      </c>
      <c r="O63" s="59"/>
    </row>
    <row r="64" spans="1:15" ht="19.149999999999999" customHeight="1" x14ac:dyDescent="0.25">
      <c r="A64" s="239"/>
      <c r="B64" s="41" t="s">
        <v>308</v>
      </c>
      <c r="C64" s="42"/>
      <c r="D64" s="42"/>
      <c r="E64" s="42"/>
      <c r="F64" s="42"/>
      <c r="G64" s="30" t="s">
        <v>303</v>
      </c>
      <c r="H64" s="6">
        <f>((H63)^0.6/(10+(H63)^0.6))*H62</f>
        <v>0.4222021983604346</v>
      </c>
      <c r="I64" s="244"/>
    </row>
    <row r="65" spans="1:9" ht="19.149999999999999" customHeight="1" x14ac:dyDescent="0.25">
      <c r="A65" s="239"/>
      <c r="B65" s="41" t="s">
        <v>278</v>
      </c>
      <c r="C65" s="42"/>
      <c r="D65" s="42"/>
      <c r="E65" s="42"/>
      <c r="F65" s="42"/>
      <c r="G65" s="30" t="s">
        <v>247</v>
      </c>
      <c r="H65" s="207">
        <f>H43</f>
        <v>193000</v>
      </c>
      <c r="I65" s="244" t="s">
        <v>28</v>
      </c>
    </row>
    <row r="66" spans="1:9" ht="19.149999999999999" customHeight="1" x14ac:dyDescent="0.25">
      <c r="A66" s="239"/>
      <c r="B66" s="41" t="s">
        <v>293</v>
      </c>
      <c r="C66" s="42"/>
      <c r="D66" s="42"/>
      <c r="E66" s="42"/>
      <c r="F66" s="42"/>
      <c r="G66" s="30" t="s">
        <v>246</v>
      </c>
      <c r="H66" s="6">
        <f>H21</f>
        <v>29725.410005582766</v>
      </c>
      <c r="I66" s="244" t="s">
        <v>28</v>
      </c>
    </row>
    <row r="67" spans="1:9" ht="19.149999999999999" customHeight="1" x14ac:dyDescent="0.25">
      <c r="A67" s="239"/>
      <c r="B67" s="41" t="s">
        <v>258</v>
      </c>
      <c r="C67" s="42"/>
      <c r="D67" s="42"/>
      <c r="E67" s="42"/>
      <c r="F67" s="42"/>
      <c r="G67" s="30" t="s">
        <v>204</v>
      </c>
      <c r="H67" s="20">
        <f>H18</f>
        <v>0.81195046302450269</v>
      </c>
      <c r="I67" s="244" t="s">
        <v>2</v>
      </c>
    </row>
    <row r="68" spans="1:9" ht="19.149999999999999" customHeight="1" x14ac:dyDescent="0.25">
      <c r="A68" s="239"/>
      <c r="B68" s="41" t="s">
        <v>259</v>
      </c>
      <c r="C68" s="42"/>
      <c r="D68" s="42"/>
      <c r="E68" s="42"/>
      <c r="F68" s="42"/>
      <c r="G68" s="30" t="s">
        <v>245</v>
      </c>
      <c r="H68" s="20">
        <f>H19</f>
        <v>0.41398802635392218</v>
      </c>
      <c r="I68" s="244" t="s">
        <v>128</v>
      </c>
    </row>
    <row r="69" spans="1:9" ht="19.149999999999999" customHeight="1" x14ac:dyDescent="0.25">
      <c r="A69" s="239"/>
      <c r="B69" s="41" t="s">
        <v>265</v>
      </c>
      <c r="C69" s="42"/>
      <c r="D69" s="42"/>
      <c r="E69" s="42"/>
      <c r="F69" s="42"/>
      <c r="G69" s="30" t="s">
        <v>285</v>
      </c>
      <c r="H69" s="20">
        <f>H44</f>
        <v>6.7115999999999999E-3</v>
      </c>
      <c r="I69" s="244" t="s">
        <v>127</v>
      </c>
    </row>
    <row r="70" spans="1:9" ht="19.149999999999999" customHeight="1" x14ac:dyDescent="0.25">
      <c r="A70" s="239"/>
      <c r="B70" s="41" t="s">
        <v>260</v>
      </c>
      <c r="C70" s="42"/>
      <c r="D70" s="42"/>
      <c r="E70" s="42"/>
      <c r="F70" s="42"/>
      <c r="G70" s="30" t="s">
        <v>108</v>
      </c>
      <c r="H70" s="20">
        <f>H20</f>
        <v>0.75230000000000019</v>
      </c>
      <c r="I70" s="244" t="s">
        <v>127</v>
      </c>
    </row>
    <row r="71" spans="1:9" s="27" customFormat="1" ht="19.149999999999999" customHeight="1" x14ac:dyDescent="0.25">
      <c r="A71" s="240"/>
      <c r="B71" s="254" t="s">
        <v>139</v>
      </c>
      <c r="C71" s="255"/>
      <c r="D71" s="255"/>
      <c r="E71" s="255"/>
      <c r="F71" s="255"/>
      <c r="G71" s="251" t="s">
        <v>146</v>
      </c>
      <c r="H71" s="25">
        <f>H26</f>
        <v>3611.0400000000013</v>
      </c>
      <c r="I71" s="256" t="s">
        <v>42</v>
      </c>
    </row>
    <row r="72" spans="1:9" ht="19.149999999999999" customHeight="1" x14ac:dyDescent="0.25">
      <c r="A72" s="239"/>
      <c r="B72" s="41" t="s">
        <v>295</v>
      </c>
      <c r="C72" s="42"/>
      <c r="D72" s="42"/>
      <c r="E72" s="42"/>
      <c r="F72" s="42"/>
      <c r="G72" s="30" t="s">
        <v>298</v>
      </c>
      <c r="H72" s="67">
        <f>H52</f>
        <v>8901.7660267627289</v>
      </c>
      <c r="I72" s="244" t="s">
        <v>40</v>
      </c>
    </row>
    <row r="73" spans="1:9" ht="19.149999999999999" customHeight="1" x14ac:dyDescent="0.25">
      <c r="A73" s="239"/>
      <c r="B73" s="41" t="s">
        <v>297</v>
      </c>
      <c r="C73" s="42"/>
      <c r="D73" s="42"/>
      <c r="E73" s="42"/>
      <c r="F73" s="42"/>
      <c r="G73" s="42"/>
      <c r="H73" s="30"/>
      <c r="I73" s="257"/>
    </row>
    <row r="74" spans="1:9" ht="19.149999999999999" customHeight="1" x14ac:dyDescent="0.25">
      <c r="A74" s="239"/>
      <c r="B74" s="41"/>
      <c r="C74" s="42"/>
      <c r="D74" s="42"/>
      <c r="E74" s="42"/>
      <c r="F74" s="42"/>
      <c r="G74" s="30" t="s">
        <v>322</v>
      </c>
      <c r="H74" s="67">
        <f>H72/H70+H72*H67^2/H68-H71/H68</f>
        <v>17285.959453051495</v>
      </c>
      <c r="I74" s="244" t="s">
        <v>135</v>
      </c>
    </row>
    <row r="75" spans="1:9" ht="19.149999999999999" customHeight="1" x14ac:dyDescent="0.25">
      <c r="A75" s="239"/>
      <c r="B75" s="41" t="s">
        <v>312</v>
      </c>
      <c r="C75" s="42"/>
      <c r="D75" s="42"/>
      <c r="E75" s="42"/>
      <c r="F75" s="42"/>
      <c r="G75" s="253" t="s">
        <v>323</v>
      </c>
      <c r="H75" s="67">
        <f>H69*10^6*H65*H64*H74/1000/H66/1000</f>
        <v>318.03103386096194</v>
      </c>
      <c r="I75" s="244" t="s">
        <v>40</v>
      </c>
    </row>
    <row r="76" spans="1:9" ht="19.149999999999999" customHeight="1" x14ac:dyDescent="0.25">
      <c r="A76" s="239"/>
      <c r="B76" s="41"/>
      <c r="C76" s="42"/>
      <c r="D76" s="42"/>
      <c r="E76" s="42"/>
      <c r="F76" s="42"/>
      <c r="G76" s="42"/>
      <c r="H76" s="30"/>
      <c r="I76" s="243"/>
    </row>
    <row r="77" spans="1:9" ht="19.149999999999999" customHeight="1" x14ac:dyDescent="0.25">
      <c r="A77" s="239" t="s">
        <v>1322</v>
      </c>
      <c r="B77" s="242" t="s">
        <v>641</v>
      </c>
      <c r="C77" s="42"/>
      <c r="D77" s="42"/>
      <c r="E77" s="42"/>
      <c r="F77" s="42"/>
      <c r="G77" s="42"/>
      <c r="H77" s="30"/>
      <c r="I77" s="243"/>
    </row>
    <row r="78" spans="1:9" ht="19.149999999999999" customHeight="1" x14ac:dyDescent="0.25">
      <c r="A78" s="239"/>
      <c r="B78" s="254" t="s">
        <v>379</v>
      </c>
      <c r="C78" s="42"/>
      <c r="D78" s="42"/>
      <c r="E78" s="42"/>
      <c r="F78" s="42"/>
      <c r="G78" s="42"/>
      <c r="H78" s="30"/>
      <c r="I78" s="243"/>
    </row>
    <row r="79" spans="1:9" ht="19.149999999999999" customHeight="1" x14ac:dyDescent="0.25">
      <c r="A79" s="239"/>
      <c r="B79" s="254" t="s">
        <v>325</v>
      </c>
      <c r="C79" s="42"/>
      <c r="D79" s="30" t="s">
        <v>41</v>
      </c>
      <c r="E79" s="234">
        <v>70</v>
      </c>
      <c r="F79" s="42" t="s">
        <v>336</v>
      </c>
      <c r="G79" s="30" t="s">
        <v>337</v>
      </c>
      <c r="H79" s="20">
        <f>1.4-0.01*E79</f>
        <v>0.69999999999999984</v>
      </c>
      <c r="I79" s="243"/>
    </row>
    <row r="80" spans="1:9" ht="19.149999999999999" customHeight="1" x14ac:dyDescent="0.25">
      <c r="A80" s="239"/>
      <c r="B80" s="254" t="s">
        <v>326</v>
      </c>
      <c r="C80" s="42"/>
      <c r="D80" s="30" t="s">
        <v>331</v>
      </c>
      <c r="E80" s="208">
        <v>15</v>
      </c>
      <c r="F80" s="42" t="s">
        <v>334</v>
      </c>
      <c r="G80" s="30" t="s">
        <v>338</v>
      </c>
      <c r="H80" s="20">
        <f>1.193-0.0127*E80</f>
        <v>1.0024999999999999</v>
      </c>
      <c r="I80" s="243"/>
    </row>
    <row r="81" spans="1:12" ht="19.149999999999999" customHeight="1" x14ac:dyDescent="0.25">
      <c r="A81" s="239"/>
      <c r="B81" s="254" t="s">
        <v>327</v>
      </c>
      <c r="C81" s="42"/>
      <c r="D81" s="30" t="s">
        <v>11</v>
      </c>
      <c r="E81" s="208">
        <v>7.5</v>
      </c>
      <c r="F81" s="42" t="s">
        <v>334</v>
      </c>
      <c r="G81" s="30" t="s">
        <v>339</v>
      </c>
      <c r="H81" s="20">
        <f>0.89+0.016*E81</f>
        <v>1.01</v>
      </c>
      <c r="I81" s="243"/>
    </row>
    <row r="82" spans="1:12" ht="19.149999999999999" customHeight="1" x14ac:dyDescent="0.25">
      <c r="A82" s="239"/>
      <c r="B82" s="254" t="s">
        <v>328</v>
      </c>
      <c r="C82" s="42"/>
      <c r="D82" s="30" t="s">
        <v>332</v>
      </c>
      <c r="E82" s="235">
        <v>50</v>
      </c>
      <c r="F82" s="42" t="s">
        <v>336</v>
      </c>
      <c r="G82" s="30" t="s">
        <v>340</v>
      </c>
      <c r="H82" s="20">
        <f>0.3+0.014*E82</f>
        <v>1</v>
      </c>
      <c r="I82" s="243"/>
    </row>
    <row r="83" spans="1:12" ht="19.149999999999999" customHeight="1" x14ac:dyDescent="0.25">
      <c r="A83" s="239"/>
      <c r="B83" s="254" t="s">
        <v>329</v>
      </c>
      <c r="C83" s="42"/>
      <c r="D83" s="30"/>
      <c r="E83" s="208">
        <v>500</v>
      </c>
      <c r="F83" s="42" t="s">
        <v>335</v>
      </c>
      <c r="G83" s="30" t="s">
        <v>341</v>
      </c>
      <c r="H83" s="20">
        <v>0.85</v>
      </c>
      <c r="I83" s="243"/>
    </row>
    <row r="84" spans="1:12" ht="19.149999999999999" customHeight="1" x14ac:dyDescent="0.25">
      <c r="A84" s="239"/>
      <c r="B84" s="254" t="s">
        <v>330</v>
      </c>
      <c r="C84" s="42"/>
      <c r="D84" s="30" t="s">
        <v>333</v>
      </c>
      <c r="E84" s="235">
        <v>6</v>
      </c>
      <c r="F84" s="42" t="s">
        <v>336</v>
      </c>
      <c r="G84" s="30" t="s">
        <v>342</v>
      </c>
      <c r="H84" s="20">
        <f>0.95+0.008*E84</f>
        <v>0.998</v>
      </c>
      <c r="I84" s="243"/>
    </row>
    <row r="85" spans="1:12" ht="19.149999999999999" customHeight="1" x14ac:dyDescent="0.25">
      <c r="A85" s="239"/>
      <c r="B85" s="41" t="s">
        <v>305</v>
      </c>
      <c r="C85" s="42"/>
      <c r="D85" s="42"/>
      <c r="E85" s="42"/>
      <c r="F85" s="42"/>
      <c r="G85" s="253" t="s">
        <v>352</v>
      </c>
      <c r="H85" s="20">
        <f>H79*H80*H81*H82*H83*H84</f>
        <v>0.6012474702499998</v>
      </c>
      <c r="I85" s="244"/>
    </row>
    <row r="86" spans="1:12" ht="19.149999999999999" customHeight="1" x14ac:dyDescent="0.25">
      <c r="A86" s="239"/>
      <c r="B86" s="246" t="s">
        <v>353</v>
      </c>
      <c r="C86" s="247"/>
      <c r="D86" s="247"/>
      <c r="E86" s="247"/>
      <c r="F86" s="247"/>
      <c r="G86" s="57" t="s">
        <v>302</v>
      </c>
      <c r="H86" s="238">
        <f>H63</f>
        <v>28</v>
      </c>
      <c r="I86" s="248" t="s">
        <v>324</v>
      </c>
    </row>
    <row r="87" spans="1:12" ht="19.149999999999999" customHeight="1" x14ac:dyDescent="0.25">
      <c r="A87" s="239"/>
      <c r="B87" s="41" t="s">
        <v>306</v>
      </c>
      <c r="C87" s="42"/>
      <c r="D87" s="42"/>
      <c r="E87" s="42"/>
      <c r="F87" s="42"/>
      <c r="G87" s="245" t="s">
        <v>309</v>
      </c>
      <c r="H87" s="83">
        <f>780*10^(-6)*H85</f>
        <v>4.6897302679499984E-4</v>
      </c>
      <c r="I87" s="244"/>
    </row>
    <row r="88" spans="1:12" ht="19.149999999999999" customHeight="1" x14ac:dyDescent="0.25">
      <c r="A88" s="239"/>
      <c r="B88" s="41" t="s">
        <v>307</v>
      </c>
      <c r="C88" s="42"/>
      <c r="D88" s="42"/>
      <c r="E88" s="42"/>
      <c r="F88" s="42"/>
      <c r="G88" s="245" t="s">
        <v>310</v>
      </c>
      <c r="H88" s="83">
        <f>(H86*365/(35+H86*365))*H87</f>
        <v>4.6737243625986327E-4</v>
      </c>
      <c r="I88" s="244"/>
    </row>
    <row r="89" spans="1:12" ht="19.149999999999999" customHeight="1" x14ac:dyDescent="0.25">
      <c r="A89" s="239"/>
      <c r="B89" s="41" t="s">
        <v>278</v>
      </c>
      <c r="C89" s="42"/>
      <c r="D89" s="42"/>
      <c r="E89" s="42"/>
      <c r="F89" s="42"/>
      <c r="G89" s="30" t="s">
        <v>247</v>
      </c>
      <c r="H89" s="207">
        <f>H65</f>
        <v>193000</v>
      </c>
      <c r="I89" s="244" t="s">
        <v>28</v>
      </c>
    </row>
    <row r="90" spans="1:12" ht="19.149999999999999" customHeight="1" x14ac:dyDescent="0.25">
      <c r="A90" s="239"/>
      <c r="B90" s="41" t="s">
        <v>265</v>
      </c>
      <c r="C90" s="42"/>
      <c r="D90" s="42"/>
      <c r="E90" s="42"/>
      <c r="F90" s="42"/>
      <c r="G90" s="30" t="s">
        <v>285</v>
      </c>
      <c r="H90" s="20">
        <f>H69</f>
        <v>6.7115999999999999E-3</v>
      </c>
      <c r="I90" s="244" t="s">
        <v>127</v>
      </c>
    </row>
    <row r="91" spans="1:12" ht="19.149999999999999" customHeight="1" x14ac:dyDescent="0.25">
      <c r="A91" s="239"/>
      <c r="B91" s="41" t="s">
        <v>313</v>
      </c>
      <c r="C91" s="42"/>
      <c r="D91" s="42"/>
      <c r="E91" s="42"/>
      <c r="F91" s="42"/>
      <c r="G91" s="253" t="s">
        <v>311</v>
      </c>
      <c r="H91" s="67">
        <f>H90*H88*H89*10^6/1000</f>
        <v>605.40565073792789</v>
      </c>
      <c r="I91" s="244" t="s">
        <v>40</v>
      </c>
      <c r="K91" s="61"/>
    </row>
    <row r="92" spans="1:12" ht="19.149999999999999" customHeight="1" x14ac:dyDescent="0.25">
      <c r="A92" s="239"/>
      <c r="B92" s="41"/>
      <c r="C92" s="42"/>
      <c r="D92" s="42"/>
      <c r="E92" s="42"/>
      <c r="F92" s="42"/>
      <c r="G92" s="42"/>
      <c r="H92" s="30"/>
      <c r="I92" s="243"/>
      <c r="L92" s="60"/>
    </row>
    <row r="93" spans="1:12" ht="19.149999999999999" customHeight="1" x14ac:dyDescent="0.25">
      <c r="A93" s="239" t="s">
        <v>1323</v>
      </c>
      <c r="B93" s="242" t="s">
        <v>642</v>
      </c>
      <c r="C93" s="247"/>
      <c r="D93" s="247"/>
      <c r="E93" s="247"/>
      <c r="F93" s="247"/>
      <c r="G93" s="247"/>
      <c r="H93" s="57"/>
      <c r="I93" s="250"/>
      <c r="J93" s="66"/>
    </row>
    <row r="94" spans="1:12" ht="19.149999999999999" customHeight="1" x14ac:dyDescent="0.25">
      <c r="A94" s="239"/>
      <c r="B94" s="246" t="s">
        <v>265</v>
      </c>
      <c r="C94" s="247"/>
      <c r="D94" s="247"/>
      <c r="E94" s="247"/>
      <c r="F94" s="247"/>
      <c r="G94" s="57" t="s">
        <v>285</v>
      </c>
      <c r="H94" s="69">
        <f>H69</f>
        <v>6.7115999999999999E-3</v>
      </c>
      <c r="I94" s="248" t="s">
        <v>127</v>
      </c>
    </row>
    <row r="95" spans="1:12" ht="19.149999999999999" customHeight="1" x14ac:dyDescent="0.25">
      <c r="A95" s="239"/>
      <c r="B95" s="246" t="s">
        <v>295</v>
      </c>
      <c r="C95" s="247"/>
      <c r="D95" s="247"/>
      <c r="E95" s="247"/>
      <c r="F95" s="247"/>
      <c r="G95" s="57" t="s">
        <v>298</v>
      </c>
      <c r="H95" s="81">
        <f>H72</f>
        <v>8901.7660267627289</v>
      </c>
      <c r="I95" s="248" t="s">
        <v>40</v>
      </c>
    </row>
    <row r="96" spans="1:12" ht="19.149999999999999" customHeight="1" x14ac:dyDescent="0.25">
      <c r="A96" s="239"/>
      <c r="B96" s="246" t="s">
        <v>316</v>
      </c>
      <c r="C96" s="247"/>
      <c r="D96" s="247"/>
      <c r="E96" s="247"/>
      <c r="F96" s="247"/>
      <c r="G96" s="249" t="s">
        <v>561</v>
      </c>
      <c r="H96" s="81">
        <f>H75/H94/1000</f>
        <v>47.385278303379515</v>
      </c>
      <c r="I96" s="248" t="s">
        <v>28</v>
      </c>
    </row>
    <row r="97" spans="1:10" ht="19.149999999999999" customHeight="1" x14ac:dyDescent="0.25">
      <c r="A97" s="239"/>
      <c r="B97" s="246" t="s">
        <v>317</v>
      </c>
      <c r="C97" s="247"/>
      <c r="D97" s="247"/>
      <c r="E97" s="247"/>
      <c r="F97" s="247"/>
      <c r="G97" s="249" t="s">
        <v>562</v>
      </c>
      <c r="H97" s="81">
        <f>H91/H90/1000</f>
        <v>90.202880198153622</v>
      </c>
      <c r="I97" s="248" t="s">
        <v>28</v>
      </c>
    </row>
    <row r="98" spans="1:10" ht="19.149999999999999" customHeight="1" x14ac:dyDescent="0.25">
      <c r="A98" s="239"/>
      <c r="B98" s="246" t="s">
        <v>314</v>
      </c>
      <c r="C98" s="247"/>
      <c r="D98" s="247"/>
      <c r="E98" s="247"/>
      <c r="F98" s="247"/>
      <c r="G98" s="57" t="s">
        <v>318</v>
      </c>
      <c r="H98" s="81">
        <f>H95/H94/1000</f>
        <v>1326.3254703442888</v>
      </c>
      <c r="I98" s="248" t="s">
        <v>28</v>
      </c>
    </row>
    <row r="99" spans="1:10" ht="19.149999999999999" customHeight="1" x14ac:dyDescent="0.25">
      <c r="A99" s="239"/>
      <c r="B99" s="246"/>
      <c r="C99" s="247"/>
      <c r="D99" s="247"/>
      <c r="E99" s="247"/>
      <c r="F99" s="247"/>
      <c r="G99" s="57"/>
      <c r="H99" s="84">
        <f>H98/'Input (1)'!H55</f>
        <v>0.7130782098625208</v>
      </c>
      <c r="I99" s="248" t="s">
        <v>321</v>
      </c>
    </row>
    <row r="100" spans="1:10" ht="19.149999999999999" customHeight="1" x14ac:dyDescent="0.25">
      <c r="A100" s="239"/>
      <c r="B100" s="246" t="s">
        <v>315</v>
      </c>
      <c r="C100" s="247"/>
      <c r="D100" s="247"/>
      <c r="E100" s="247"/>
      <c r="F100" s="247"/>
      <c r="G100" s="249" t="s">
        <v>380</v>
      </c>
      <c r="H100" s="81">
        <f>H96+H97</f>
        <v>137.58815850153314</v>
      </c>
      <c r="I100" s="248" t="s">
        <v>28</v>
      </c>
      <c r="J100" s="59"/>
    </row>
    <row r="101" spans="1:10" ht="19.149999999999999" customHeight="1" x14ac:dyDescent="0.25">
      <c r="A101" s="239"/>
      <c r="B101" s="246" t="s">
        <v>378</v>
      </c>
      <c r="C101" s="247"/>
      <c r="D101" s="247"/>
      <c r="E101" s="247"/>
      <c r="F101" s="247"/>
      <c r="G101" s="249" t="s">
        <v>354</v>
      </c>
      <c r="H101" s="84">
        <v>2.5000000000000001E-2</v>
      </c>
      <c r="I101" s="248"/>
    </row>
    <row r="102" spans="1:10" ht="19.149999999999999" customHeight="1" x14ac:dyDescent="0.25">
      <c r="A102" s="239"/>
      <c r="B102" s="246" t="s">
        <v>320</v>
      </c>
      <c r="C102" s="247"/>
      <c r="D102" s="247"/>
      <c r="E102" s="247"/>
      <c r="F102" s="247"/>
      <c r="G102" s="247"/>
      <c r="H102" s="57"/>
      <c r="I102" s="250"/>
      <c r="J102" s="66"/>
    </row>
    <row r="103" spans="1:10" ht="19.149999999999999" customHeight="1" x14ac:dyDescent="0.25">
      <c r="A103" s="239"/>
      <c r="B103" s="258" t="s">
        <v>559</v>
      </c>
      <c r="C103" s="77">
        <v>0</v>
      </c>
      <c r="D103" s="115" t="s">
        <v>557</v>
      </c>
      <c r="E103" s="85">
        <v>0.5</v>
      </c>
      <c r="F103" s="259" t="s">
        <v>321</v>
      </c>
      <c r="G103" s="247"/>
      <c r="H103" s="57"/>
      <c r="I103" s="250"/>
      <c r="J103" s="66"/>
    </row>
    <row r="104" spans="1:10" ht="19.149999999999999" customHeight="1" x14ac:dyDescent="0.25">
      <c r="A104" s="239"/>
      <c r="B104" s="258" t="s">
        <v>559</v>
      </c>
      <c r="C104" s="77">
        <v>1</v>
      </c>
      <c r="D104" s="115" t="s">
        <v>558</v>
      </c>
      <c r="E104" s="85">
        <v>0.5</v>
      </c>
      <c r="F104" s="259" t="s">
        <v>321</v>
      </c>
      <c r="G104" s="247"/>
      <c r="H104" s="57"/>
      <c r="I104" s="250"/>
      <c r="J104" s="66"/>
    </row>
    <row r="105" spans="1:10" ht="19.149999999999999" customHeight="1" x14ac:dyDescent="0.25">
      <c r="A105" s="239"/>
      <c r="B105" s="258" t="s">
        <v>559</v>
      </c>
      <c r="C105" s="77">
        <v>2</v>
      </c>
      <c r="D105" s="115" t="s">
        <v>563</v>
      </c>
      <c r="E105" s="85">
        <v>0.7</v>
      </c>
      <c r="F105" s="259" t="s">
        <v>321</v>
      </c>
      <c r="G105" s="247"/>
      <c r="H105" s="57"/>
      <c r="I105" s="250"/>
      <c r="J105" s="66"/>
    </row>
    <row r="106" spans="1:10" ht="19.149999999999999" customHeight="1" x14ac:dyDescent="0.25">
      <c r="A106" s="239"/>
      <c r="B106" s="246"/>
      <c r="C106" s="247"/>
      <c r="D106" s="247"/>
      <c r="E106" s="247"/>
      <c r="F106" s="247"/>
      <c r="G106" s="57" t="s">
        <v>559</v>
      </c>
      <c r="H106" s="81">
        <f>IF(H99&lt;0.5,0,IF(H99&lt;=0.7,(C105-C104)/(E105-E104)*(H99-E104)+C104,IF(H99&gt;0.7,2,"[ EROR ]")))</f>
        <v>2</v>
      </c>
      <c r="I106" s="248"/>
      <c r="J106" s="1"/>
    </row>
    <row r="107" spans="1:10" ht="19.149999999999999" customHeight="1" x14ac:dyDescent="0.25">
      <c r="A107" s="239"/>
      <c r="B107" s="246" t="s">
        <v>319</v>
      </c>
      <c r="C107" s="247"/>
      <c r="D107" s="247"/>
      <c r="E107" s="247"/>
      <c r="F107" s="247"/>
      <c r="G107" s="57" t="s">
        <v>560</v>
      </c>
      <c r="H107" s="73">
        <f>H94*10^6*H101*H106*(H98-H100)/1000</f>
        <v>398.91646710819191</v>
      </c>
      <c r="I107" s="248" t="s">
        <v>40</v>
      </c>
      <c r="J107" s="1"/>
    </row>
    <row r="108" spans="1:10" ht="19.149999999999999" customHeight="1" x14ac:dyDescent="0.25">
      <c r="A108" s="239"/>
      <c r="B108" s="41"/>
      <c r="C108" s="42"/>
      <c r="D108" s="42"/>
      <c r="E108" s="42"/>
      <c r="F108" s="42"/>
      <c r="G108" s="30"/>
      <c r="H108" s="31"/>
      <c r="I108" s="244"/>
    </row>
    <row r="109" spans="1:10" ht="19.149999999999999" customHeight="1" x14ac:dyDescent="0.25">
      <c r="A109" s="239" t="s">
        <v>1324</v>
      </c>
      <c r="B109" s="242" t="s">
        <v>635</v>
      </c>
      <c r="C109" s="42"/>
      <c r="D109" s="42"/>
      <c r="E109" s="42"/>
      <c r="F109" s="42"/>
      <c r="G109" s="30"/>
      <c r="H109" s="31"/>
      <c r="I109" s="244"/>
      <c r="J109" s="1"/>
    </row>
    <row r="110" spans="1:10" ht="19.149999999999999" customHeight="1" x14ac:dyDescent="0.25">
      <c r="A110" s="239"/>
      <c r="B110" s="41" t="s">
        <v>355</v>
      </c>
      <c r="C110" s="42"/>
      <c r="D110" s="42"/>
      <c r="E110" s="42"/>
      <c r="F110" s="42"/>
      <c r="G110" s="245" t="s">
        <v>356</v>
      </c>
      <c r="H110" s="67">
        <f>H75+H91+H107</f>
        <v>1322.3531517070817</v>
      </c>
      <c r="I110" s="244" t="s">
        <v>40</v>
      </c>
      <c r="J110" s="1"/>
    </row>
    <row r="111" spans="1:10" ht="19.149999999999999" customHeight="1" x14ac:dyDescent="0.25">
      <c r="A111" s="239"/>
      <c r="B111" s="41" t="s">
        <v>357</v>
      </c>
      <c r="C111" s="42"/>
      <c r="D111" s="42"/>
      <c r="E111" s="42"/>
      <c r="F111" s="42"/>
      <c r="G111" s="30" t="s">
        <v>364</v>
      </c>
      <c r="H111" s="67">
        <f>H95-H110</f>
        <v>7579.4128750556474</v>
      </c>
      <c r="I111" s="244" t="s">
        <v>40</v>
      </c>
      <c r="J111" s="1"/>
    </row>
    <row r="112" spans="1:10" ht="19.149999999999999" customHeight="1" x14ac:dyDescent="0.25">
      <c r="A112" s="239"/>
      <c r="B112" s="41" t="s">
        <v>358</v>
      </c>
      <c r="C112" s="42"/>
      <c r="D112" s="42"/>
      <c r="E112" s="42"/>
      <c r="F112" s="42"/>
      <c r="G112" s="30" t="s">
        <v>369</v>
      </c>
      <c r="H112" s="86">
        <f>1-H111/H3</f>
        <v>0.23483090155044162</v>
      </c>
      <c r="I112" s="260"/>
      <c r="J112" s="1"/>
    </row>
    <row r="113" spans="1:13" ht="19.149999999999999" customHeight="1" x14ac:dyDescent="0.25">
      <c r="A113" s="239"/>
      <c r="B113" s="41" t="s">
        <v>913</v>
      </c>
      <c r="C113" s="42"/>
      <c r="D113" s="42"/>
      <c r="E113" s="42"/>
      <c r="F113" s="42"/>
      <c r="G113" s="42"/>
      <c r="H113" s="30"/>
      <c r="I113" s="261"/>
      <c r="J113" s="62"/>
    </row>
    <row r="114" spans="1:13" ht="19.149999999999999" customHeight="1" x14ac:dyDescent="0.25">
      <c r="A114" s="239"/>
      <c r="B114" s="41" t="s">
        <v>361</v>
      </c>
      <c r="C114" s="42"/>
      <c r="D114" s="31" t="s">
        <v>915</v>
      </c>
      <c r="E114" s="31"/>
      <c r="F114" s="262">
        <v>0.3</v>
      </c>
      <c r="G114" s="42"/>
      <c r="H114" s="30"/>
      <c r="I114" s="243"/>
    </row>
    <row r="115" spans="1:13" ht="19.149999999999999" customHeight="1" x14ac:dyDescent="0.25">
      <c r="A115" s="239"/>
      <c r="B115" s="41"/>
      <c r="C115" s="42"/>
      <c r="D115" s="86">
        <f>H112</f>
        <v>0.23483090155044162</v>
      </c>
      <c r="E115" s="31" t="str">
        <f>IF(D115&lt;F115,"&lt;","&gt;")</f>
        <v>&lt;</v>
      </c>
      <c r="F115" s="86">
        <v>0.3</v>
      </c>
      <c r="G115" s="245" t="s">
        <v>363</v>
      </c>
      <c r="H115" s="132" t="str">
        <f>IF(D115&lt;F115,"[ OK ]","[ NOT OK ]")</f>
        <v>[ OK ]</v>
      </c>
      <c r="I115" s="43"/>
    </row>
    <row r="116" spans="1:13" ht="19.149999999999999" customHeight="1" x14ac:dyDescent="0.25">
      <c r="A116" s="239"/>
      <c r="B116" s="41"/>
      <c r="C116" s="42"/>
      <c r="D116" s="236"/>
      <c r="E116" s="31"/>
      <c r="F116" s="236"/>
      <c r="G116" s="42"/>
      <c r="H116" s="245"/>
      <c r="I116" s="263"/>
    </row>
    <row r="117" spans="1:13" ht="19.149999999999999" customHeight="1" x14ac:dyDescent="0.25">
      <c r="A117" s="239"/>
      <c r="B117" s="41" t="s">
        <v>359</v>
      </c>
      <c r="C117" s="42"/>
      <c r="D117" s="42"/>
      <c r="E117" s="42"/>
      <c r="F117" s="42"/>
      <c r="G117" s="30" t="s">
        <v>365</v>
      </c>
      <c r="H117" s="67">
        <f>0.7*'Input (1)'!H55</f>
        <v>1302</v>
      </c>
      <c r="I117" s="244" t="s">
        <v>61</v>
      </c>
      <c r="J117" s="1"/>
    </row>
    <row r="118" spans="1:13" ht="19.149999999999999" customHeight="1" x14ac:dyDescent="0.25">
      <c r="A118" s="239"/>
      <c r="B118" s="41" t="s">
        <v>360</v>
      </c>
      <c r="C118" s="42"/>
      <c r="D118" s="42"/>
      <c r="E118" s="42"/>
      <c r="F118" s="42"/>
      <c r="G118" s="30" t="s">
        <v>366</v>
      </c>
      <c r="H118" s="67">
        <f>H111*1000/(H94*10^6)</f>
        <v>1129.3004462506181</v>
      </c>
      <c r="I118" s="244" t="s">
        <v>28</v>
      </c>
      <c r="J118" s="1"/>
    </row>
    <row r="119" spans="1:13" ht="19.149999999999999" customHeight="1" x14ac:dyDescent="0.25">
      <c r="A119" s="239"/>
      <c r="B119" s="41" t="s">
        <v>914</v>
      </c>
      <c r="C119" s="42"/>
      <c r="D119" s="42"/>
      <c r="E119" s="42"/>
      <c r="F119" s="42"/>
      <c r="G119" s="42"/>
      <c r="H119" s="30"/>
      <c r="I119" s="257"/>
    </row>
    <row r="120" spans="1:13" ht="19.149999999999999" customHeight="1" x14ac:dyDescent="0.25">
      <c r="A120" s="239"/>
      <c r="B120" s="41" t="s">
        <v>361</v>
      </c>
      <c r="C120" s="42"/>
      <c r="D120" s="31" t="s">
        <v>367</v>
      </c>
      <c r="E120" s="31" t="s">
        <v>362</v>
      </c>
      <c r="F120" s="31" t="s">
        <v>368</v>
      </c>
      <c r="G120" s="42"/>
      <c r="H120" s="30"/>
      <c r="I120" s="243"/>
    </row>
    <row r="121" spans="1:13" ht="19.149999999999999" customHeight="1" x14ac:dyDescent="0.25">
      <c r="A121" s="239"/>
      <c r="B121" s="41"/>
      <c r="C121" s="42"/>
      <c r="D121" s="67">
        <f>H118</f>
        <v>1129.3004462506181</v>
      </c>
      <c r="E121" s="31" t="str">
        <f>IF(D121&lt;F121,"&lt;","&gt;")</f>
        <v>&lt;</v>
      </c>
      <c r="F121" s="67">
        <f>H117</f>
        <v>1302</v>
      </c>
      <c r="G121" s="245" t="s">
        <v>363</v>
      </c>
      <c r="H121" s="132" t="str">
        <f>IF(D121&lt;F121,"[ OK ]","[ NOT OK ]")</f>
        <v>[ OK ]</v>
      </c>
      <c r="I121" s="43"/>
    </row>
    <row r="122" spans="1:13" ht="19.149999999999999" customHeight="1" x14ac:dyDescent="0.25">
      <c r="A122" s="239"/>
      <c r="B122" s="41"/>
      <c r="C122" s="42"/>
      <c r="D122" s="42"/>
      <c r="E122" s="42"/>
      <c r="F122" s="42"/>
      <c r="G122" s="42"/>
      <c r="H122" s="30"/>
      <c r="I122" s="243"/>
    </row>
    <row r="123" spans="1:13" ht="19.149999999999999" customHeight="1" x14ac:dyDescent="0.25">
      <c r="A123" s="239"/>
      <c r="B123" s="41" t="s">
        <v>370</v>
      </c>
      <c r="C123" s="42"/>
      <c r="D123" s="42"/>
      <c r="E123" s="42"/>
      <c r="F123" s="42"/>
      <c r="G123" s="30" t="s">
        <v>296</v>
      </c>
      <c r="H123" s="67">
        <f>H3</f>
        <v>9905.5396910481722</v>
      </c>
      <c r="I123" s="317">
        <v>1</v>
      </c>
      <c r="J123" s="425">
        <v>1</v>
      </c>
      <c r="L123" s="390"/>
      <c r="M123" s="412"/>
    </row>
    <row r="124" spans="1:13" ht="19.149999999999999" customHeight="1" x14ac:dyDescent="0.25">
      <c r="A124" s="239"/>
      <c r="B124" s="41" t="s">
        <v>371</v>
      </c>
      <c r="C124" s="42"/>
      <c r="D124" s="42"/>
      <c r="E124" s="42"/>
      <c r="F124" s="42"/>
      <c r="G124" s="30" t="s">
        <v>286</v>
      </c>
      <c r="H124" s="67">
        <f>H6</f>
        <v>9608.3735003167276</v>
      </c>
      <c r="I124" s="316">
        <f>H124/$H$123</f>
        <v>0.97000000000000008</v>
      </c>
      <c r="J124" s="425">
        <v>2</v>
      </c>
      <c r="L124" s="390"/>
      <c r="M124" s="412"/>
    </row>
    <row r="125" spans="1:13" ht="19.149999999999999" customHeight="1" x14ac:dyDescent="0.25">
      <c r="A125" s="239"/>
      <c r="B125" s="41" t="s">
        <v>372</v>
      </c>
      <c r="C125" s="42"/>
      <c r="D125" s="42"/>
      <c r="E125" s="42"/>
      <c r="F125" s="42"/>
      <c r="G125" s="30" t="s">
        <v>287</v>
      </c>
      <c r="H125" s="67">
        <f>H14</f>
        <v>9416.8127703820446</v>
      </c>
      <c r="I125" s="316">
        <f>H125/$H$123</f>
        <v>0.95066125260112788</v>
      </c>
      <c r="J125" s="425">
        <v>3</v>
      </c>
      <c r="L125" s="390"/>
      <c r="M125" s="412"/>
    </row>
    <row r="126" spans="1:13" ht="19.149999999999999" customHeight="1" x14ac:dyDescent="0.25">
      <c r="A126" s="239"/>
      <c r="B126" s="41" t="s">
        <v>977</v>
      </c>
      <c r="C126" s="42"/>
      <c r="D126" s="42"/>
      <c r="E126" s="42"/>
      <c r="F126" s="42"/>
      <c r="G126" s="30" t="s">
        <v>298</v>
      </c>
      <c r="H126" s="67">
        <f>H52</f>
        <v>8901.7660267627289</v>
      </c>
      <c r="I126" s="316">
        <f>H126/$H$123</f>
        <v>0.89866542403615091</v>
      </c>
      <c r="J126" s="425">
        <v>4</v>
      </c>
      <c r="L126" s="390"/>
      <c r="M126" s="412"/>
    </row>
    <row r="127" spans="1:13" ht="19.149999999999999" customHeight="1" x14ac:dyDescent="0.25">
      <c r="A127" s="239"/>
      <c r="B127" s="41" t="s">
        <v>373</v>
      </c>
      <c r="C127" s="42"/>
      <c r="D127" s="42"/>
      <c r="E127" s="42"/>
      <c r="F127" s="42"/>
      <c r="G127" s="30" t="s">
        <v>374</v>
      </c>
      <c r="H127" s="67">
        <f>H111</f>
        <v>7579.4128750556474</v>
      </c>
      <c r="I127" s="316">
        <f>H127/$H$123</f>
        <v>0.76516909844955838</v>
      </c>
      <c r="J127" s="425">
        <v>5</v>
      </c>
      <c r="L127" s="390"/>
      <c r="M127" s="412"/>
    </row>
    <row r="128" spans="1:13" ht="19.149999999999999" customHeight="1" x14ac:dyDescent="0.25">
      <c r="A128" s="239"/>
      <c r="B128" s="41"/>
      <c r="C128" s="42"/>
      <c r="D128" s="42"/>
      <c r="E128" s="42"/>
      <c r="F128" s="42"/>
      <c r="G128" s="42"/>
      <c r="H128" s="30"/>
      <c r="I128" s="243"/>
    </row>
    <row r="129" spans="1:9" ht="19.149999999999999" customHeight="1" x14ac:dyDescent="0.25">
      <c r="A129" s="239"/>
      <c r="B129" s="41"/>
      <c r="C129" s="42"/>
      <c r="D129" s="42"/>
      <c r="E129" s="42"/>
      <c r="F129" s="42"/>
      <c r="G129" s="42"/>
      <c r="H129" s="30"/>
      <c r="I129" s="243"/>
    </row>
    <row r="130" spans="1:9" ht="19.149999999999999" customHeight="1" x14ac:dyDescent="0.25">
      <c r="A130" s="239"/>
      <c r="B130" s="41"/>
      <c r="C130" s="42"/>
      <c r="D130" s="42"/>
      <c r="E130" s="42"/>
      <c r="F130" s="42"/>
      <c r="G130" s="42"/>
      <c r="H130" s="30"/>
      <c r="I130" s="243"/>
    </row>
    <row r="131" spans="1:9" ht="19.149999999999999" customHeight="1" x14ac:dyDescent="0.25">
      <c r="A131" s="239"/>
      <c r="B131" s="41"/>
      <c r="C131" s="42"/>
      <c r="D131" s="42"/>
      <c r="E131" s="42"/>
      <c r="F131" s="42"/>
      <c r="G131" s="42"/>
      <c r="H131" s="30"/>
      <c r="I131" s="243"/>
    </row>
    <row r="132" spans="1:9" ht="19.149999999999999" customHeight="1" x14ac:dyDescent="0.25">
      <c r="A132" s="239"/>
      <c r="B132" s="41"/>
      <c r="C132" s="42"/>
      <c r="D132" s="42"/>
      <c r="E132" s="42"/>
      <c r="F132" s="42"/>
      <c r="G132" s="42"/>
      <c r="H132" s="30"/>
      <c r="I132" s="243"/>
    </row>
    <row r="133" spans="1:9" ht="19.149999999999999" customHeight="1" x14ac:dyDescent="0.25">
      <c r="A133" s="239"/>
      <c r="B133" s="41"/>
      <c r="C133" s="42"/>
      <c r="D133" s="42"/>
      <c r="E133" s="42"/>
      <c r="F133" s="42"/>
      <c r="G133" s="42"/>
      <c r="H133" s="30"/>
      <c r="I133" s="243"/>
    </row>
    <row r="134" spans="1:9" ht="19.149999999999999" customHeight="1" x14ac:dyDescent="0.25">
      <c r="A134" s="239"/>
      <c r="B134" s="41"/>
      <c r="C134" s="42"/>
      <c r="D134" s="42"/>
      <c r="E134" s="42"/>
      <c r="F134" s="42"/>
      <c r="G134" s="42"/>
      <c r="H134" s="30"/>
      <c r="I134" s="243"/>
    </row>
    <row r="135" spans="1:9" ht="19.149999999999999" customHeight="1" x14ac:dyDescent="0.25">
      <c r="A135" s="239"/>
      <c r="B135" s="41"/>
      <c r="C135" s="42"/>
      <c r="D135" s="42"/>
      <c r="E135" s="42"/>
      <c r="F135" s="42"/>
      <c r="G135" s="42"/>
      <c r="H135" s="30"/>
      <c r="I135" s="243"/>
    </row>
    <row r="136" spans="1:9" ht="19.149999999999999" customHeight="1" x14ac:dyDescent="0.25">
      <c r="A136" s="239"/>
      <c r="B136" s="41"/>
      <c r="C136" s="42"/>
      <c r="D136" s="42"/>
      <c r="E136" s="42"/>
      <c r="F136" s="42"/>
      <c r="G136" s="42"/>
      <c r="H136" s="30"/>
      <c r="I136" s="243"/>
    </row>
    <row r="137" spans="1:9" ht="19.149999999999999" customHeight="1" x14ac:dyDescent="0.25">
      <c r="A137" s="239"/>
      <c r="B137" s="41"/>
      <c r="C137" s="42"/>
      <c r="D137" s="42"/>
      <c r="E137" s="42"/>
      <c r="F137" s="42"/>
      <c r="G137" s="42"/>
      <c r="H137" s="30"/>
      <c r="I137" s="243"/>
    </row>
    <row r="138" spans="1:9" ht="19.149999999999999" customHeight="1" x14ac:dyDescent="0.25">
      <c r="A138" s="239"/>
      <c r="B138" s="41"/>
      <c r="C138" s="42"/>
      <c r="D138" s="42"/>
      <c r="E138" s="42"/>
      <c r="F138" s="42"/>
      <c r="G138" s="42"/>
      <c r="H138" s="30"/>
      <c r="I138" s="243"/>
    </row>
    <row r="139" spans="1:9" ht="19.149999999999999" customHeight="1" x14ac:dyDescent="0.25">
      <c r="A139" s="239"/>
      <c r="B139" s="41"/>
      <c r="C139" s="42"/>
      <c r="D139" s="42"/>
      <c r="E139" s="42"/>
      <c r="F139" s="42"/>
      <c r="G139" s="42"/>
      <c r="H139" s="30"/>
      <c r="I139" s="243"/>
    </row>
    <row r="140" spans="1:9" ht="19.149999999999999" customHeight="1" x14ac:dyDescent="0.25">
      <c r="A140" s="239"/>
      <c r="B140" s="41"/>
      <c r="C140" s="42"/>
      <c r="D140" s="42"/>
      <c r="E140" s="42"/>
      <c r="F140" s="42"/>
      <c r="G140" s="42"/>
      <c r="H140" s="30"/>
      <c r="I140" s="243"/>
    </row>
    <row r="141" spans="1:9" ht="19.149999999999999" customHeight="1" x14ac:dyDescent="0.25">
      <c r="A141" s="239"/>
      <c r="B141" s="41"/>
      <c r="C141" s="42"/>
      <c r="D141" s="42"/>
      <c r="E141" s="42"/>
      <c r="F141" s="42"/>
      <c r="G141" s="42"/>
      <c r="H141" s="30"/>
      <c r="I141" s="243"/>
    </row>
    <row r="142" spans="1:9" ht="19.149999999999999" customHeight="1" x14ac:dyDescent="0.25">
      <c r="A142" s="239"/>
      <c r="B142" s="41"/>
      <c r="C142" s="42"/>
      <c r="D142" s="42"/>
      <c r="E142" s="42"/>
      <c r="F142" s="42"/>
      <c r="G142" s="42"/>
      <c r="H142" s="30"/>
      <c r="I142" s="243"/>
    </row>
    <row r="143" spans="1:9" ht="19.149999999999999" customHeight="1" x14ac:dyDescent="0.25">
      <c r="A143" s="239"/>
      <c r="B143" s="41"/>
      <c r="C143" s="42"/>
      <c r="D143" s="42"/>
      <c r="E143" s="42"/>
      <c r="F143" s="42"/>
      <c r="G143" s="42"/>
      <c r="H143" s="30"/>
      <c r="I143" s="243"/>
    </row>
    <row r="144" spans="1:9" ht="19.149999999999999" customHeight="1" x14ac:dyDescent="0.25">
      <c r="A144" s="239"/>
      <c r="B144" s="41"/>
      <c r="C144" s="42"/>
      <c r="D144" s="42"/>
      <c r="E144" s="42"/>
      <c r="F144" s="42"/>
      <c r="G144" s="42"/>
      <c r="H144" s="30"/>
      <c r="I144" s="243"/>
    </row>
    <row r="145" spans="1:9" ht="19.149999999999999" customHeight="1" x14ac:dyDescent="0.25">
      <c r="A145" s="239"/>
      <c r="B145" s="41"/>
      <c r="C145" s="42"/>
      <c r="D145" s="42"/>
      <c r="E145" s="42"/>
      <c r="F145" s="42"/>
      <c r="G145" s="42"/>
      <c r="H145" s="30"/>
      <c r="I145" s="243"/>
    </row>
    <row r="146" spans="1:9" ht="19.149999999999999" customHeight="1" x14ac:dyDescent="0.25">
      <c r="A146" s="239"/>
      <c r="B146" s="41"/>
      <c r="C146" s="42"/>
      <c r="D146" s="42"/>
      <c r="E146" s="42"/>
      <c r="F146" s="42"/>
      <c r="G146" s="42"/>
      <c r="H146" s="30"/>
      <c r="I146" s="243"/>
    </row>
    <row r="147" spans="1:9" ht="19.149999999999999" customHeight="1" x14ac:dyDescent="0.25">
      <c r="A147" s="239"/>
      <c r="B147" s="41"/>
      <c r="C147" s="42"/>
      <c r="D147" s="42"/>
      <c r="E147" s="42"/>
      <c r="F147" s="42"/>
      <c r="G147" s="42"/>
      <c r="H147" s="30"/>
      <c r="I147" s="243"/>
    </row>
    <row r="148" spans="1:9" ht="19.149999999999999" customHeight="1" x14ac:dyDescent="0.25">
      <c r="A148" s="239"/>
      <c r="B148" s="41"/>
      <c r="C148" s="42"/>
      <c r="D148" s="42"/>
      <c r="E148" s="42"/>
      <c r="F148" s="42"/>
      <c r="G148" s="42"/>
      <c r="H148" s="30"/>
      <c r="I148" s="243"/>
    </row>
    <row r="149" spans="1:9" ht="19.149999999999999" customHeight="1" x14ac:dyDescent="0.25">
      <c r="A149" s="241"/>
      <c r="B149" s="44"/>
      <c r="C149" s="45"/>
      <c r="D149" s="45"/>
      <c r="E149" s="45"/>
      <c r="F149" s="45"/>
      <c r="G149" s="45"/>
      <c r="H149" s="264"/>
      <c r="I149" s="265"/>
    </row>
  </sheetData>
  <mergeCells count="1">
    <mergeCell ref="B1:F1"/>
  </mergeCells>
  <conditionalFormatting sqref="H121 H115">
    <cfRule type="containsText" dxfId="66" priority="1" operator="containsText" text="[ NOT OK ]">
      <formula>NOT(ISERROR(SEARCH("[ NOT OK ]",H115)))</formula>
    </cfRule>
    <cfRule type="containsText" dxfId="65" priority="2" operator="containsText" text="[ OK ]">
      <formula>NOT(ISERROR(SEARCH("[ OK ]",H115)))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BEFF-EB90-4FA7-AC6D-4CBB246B4210}">
  <sheetPr codeName="Sheet9">
    <tabColor theme="7" tint="0.79998168889431442"/>
  </sheetPr>
  <dimension ref="A1:AE160"/>
  <sheetViews>
    <sheetView showGridLines="0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85546875" defaultRowHeight="19.149999999999999" customHeight="1" x14ac:dyDescent="0.25"/>
  <cols>
    <col min="1" max="1" width="6.7109375" style="63" customWidth="1"/>
    <col min="2" max="7" width="13.5703125" style="168" customWidth="1"/>
    <col min="8" max="8" width="14.140625" style="175" customWidth="1"/>
    <col min="9" max="9" width="11.42578125" style="176" customWidth="1"/>
    <col min="10" max="10" width="10.42578125" style="176" customWidth="1"/>
    <col min="11" max="12" width="8.85546875" style="168"/>
    <col min="13" max="13" width="6.7109375" style="63" customWidth="1"/>
    <col min="14" max="14" width="8.85546875" style="168"/>
    <col min="15" max="15" width="6.28515625" style="168" customWidth="1"/>
    <col min="16" max="16" width="5.28515625" style="168" bestFit="1" customWidth="1"/>
    <col min="17" max="18" width="17.140625" style="168" customWidth="1"/>
    <col min="19" max="20" width="17.140625" style="179" customWidth="1"/>
    <col min="21" max="22" width="17.140625" style="168" customWidth="1"/>
    <col min="23" max="16384" width="8.85546875" style="168"/>
  </cols>
  <sheetData>
    <row r="1" spans="1:31" s="1" customFormat="1" ht="18.75" customHeight="1" x14ac:dyDescent="0.25">
      <c r="A1" s="213" t="s">
        <v>870</v>
      </c>
      <c r="B1" s="596" t="s">
        <v>871</v>
      </c>
      <c r="C1" s="596"/>
      <c r="D1" s="596"/>
      <c r="E1" s="596"/>
      <c r="F1" s="596"/>
      <c r="G1" s="213" t="s">
        <v>872</v>
      </c>
      <c r="H1" s="213" t="s">
        <v>873</v>
      </c>
      <c r="I1" s="215" t="s">
        <v>874</v>
      </c>
    </row>
    <row r="2" spans="1:31" ht="19.149999999999999" customHeight="1" x14ac:dyDescent="0.25">
      <c r="A2" s="239" t="s">
        <v>661</v>
      </c>
      <c r="B2" s="242" t="s">
        <v>662</v>
      </c>
      <c r="C2" s="199"/>
      <c r="D2" s="199"/>
      <c r="E2" s="199"/>
      <c r="F2" s="199"/>
      <c r="G2" s="199"/>
      <c r="H2" s="198"/>
      <c r="I2" s="278"/>
      <c r="M2" s="63" t="s">
        <v>675</v>
      </c>
      <c r="N2" s="154" t="s">
        <v>676</v>
      </c>
      <c r="U2" s="179"/>
    </row>
    <row r="3" spans="1:31" ht="19.149999999999999" customHeight="1" x14ac:dyDescent="0.25">
      <c r="A3" s="239"/>
      <c r="B3" s="41" t="s">
        <v>577</v>
      </c>
      <c r="C3" s="42"/>
      <c r="D3" s="42"/>
      <c r="E3" s="42"/>
      <c r="F3" s="42"/>
      <c r="G3" s="279" t="s">
        <v>875</v>
      </c>
      <c r="H3" s="14">
        <f>0.8*'Input (1)'!H29</f>
        <v>40</v>
      </c>
      <c r="I3" s="244" t="s">
        <v>61</v>
      </c>
      <c r="N3" s="633" t="s">
        <v>393</v>
      </c>
      <c r="O3" s="633"/>
      <c r="P3" s="633"/>
      <c r="Q3" s="633" t="s">
        <v>390</v>
      </c>
      <c r="R3" s="633"/>
      <c r="S3" s="633"/>
      <c r="T3" s="633"/>
      <c r="U3" s="633"/>
      <c r="V3" s="633"/>
    </row>
    <row r="4" spans="1:31" ht="19.149999999999999" customHeight="1" x14ac:dyDescent="0.25">
      <c r="A4" s="239"/>
      <c r="B4" s="280" t="s">
        <v>920</v>
      </c>
      <c r="C4" s="281"/>
      <c r="D4" s="281"/>
      <c r="E4" s="281"/>
      <c r="F4" s="281"/>
      <c r="G4" s="281"/>
      <c r="H4" s="282"/>
      <c r="I4" s="283"/>
      <c r="J4" s="167"/>
      <c r="K4" s="165"/>
      <c r="N4" s="633" t="s">
        <v>392</v>
      </c>
      <c r="O4" s="633"/>
      <c r="P4" s="633"/>
      <c r="Q4" s="266" t="s">
        <v>391</v>
      </c>
      <c r="R4" s="266" t="s">
        <v>388</v>
      </c>
      <c r="S4" s="266" t="s">
        <v>389</v>
      </c>
      <c r="T4" s="267" t="s">
        <v>394</v>
      </c>
      <c r="U4" s="266" t="s">
        <v>388</v>
      </c>
      <c r="V4" s="266" t="s">
        <v>389</v>
      </c>
    </row>
    <row r="5" spans="1:31" ht="19.149999999999999" customHeight="1" x14ac:dyDescent="0.25">
      <c r="A5" s="239"/>
      <c r="B5" s="369" t="s">
        <v>62</v>
      </c>
      <c r="C5" s="281"/>
      <c r="D5" s="281"/>
      <c r="E5" s="281"/>
      <c r="F5" s="281"/>
      <c r="G5" s="249" t="s">
        <v>64</v>
      </c>
      <c r="H5" s="15">
        <f>0.6*H3</f>
        <v>24</v>
      </c>
      <c r="I5" s="283" t="s">
        <v>61</v>
      </c>
      <c r="K5" s="165"/>
      <c r="N5" s="169" t="s">
        <v>646</v>
      </c>
      <c r="O5" s="170">
        <f>H25</f>
        <v>1.0880495369754974</v>
      </c>
      <c r="P5" s="171" t="s">
        <v>2</v>
      </c>
      <c r="Q5" s="172">
        <f>H51</f>
        <v>-14.020991816603312</v>
      </c>
      <c r="R5" s="172">
        <f>IF(Q5&lt;0,-$H$5,$H$6)</f>
        <v>-24</v>
      </c>
      <c r="S5" s="173" t="str">
        <f>IF(Q5&lt;0,IF(Q5&gt;R5,"[ OK ]","[ NOT OK ]"),IF(Q5&lt;R5,"[ OK ]","[ NOT OK ]"))</f>
        <v>[ OK ]</v>
      </c>
      <c r="T5" s="174">
        <f>H30</f>
        <v>-1.5193695500330178</v>
      </c>
      <c r="U5" s="174">
        <f>IF(T5&lt;0,-$H$5,$H$6)</f>
        <v>-24</v>
      </c>
      <c r="V5" s="171" t="str">
        <f>IF(T5&lt;0,IF(T5&gt;U5,"[ OK ]","[ NOT OK ]"),IF(T5&lt;U5,"[ OK ]","[ NOT OK ]"))</f>
        <v>[ OK ]</v>
      </c>
    </row>
    <row r="6" spans="1:31" ht="19.149999999999999" customHeight="1" x14ac:dyDescent="0.25">
      <c r="A6" s="239"/>
      <c r="B6" s="369" t="s">
        <v>63</v>
      </c>
      <c r="C6" s="281"/>
      <c r="D6" s="281"/>
      <c r="E6" s="281"/>
      <c r="F6" s="281"/>
      <c r="G6" s="249" t="s">
        <v>381</v>
      </c>
      <c r="H6" s="15">
        <f>0.25*H3^0.5</f>
        <v>1.5811388300841898</v>
      </c>
      <c r="I6" s="283" t="s">
        <v>61</v>
      </c>
      <c r="K6" s="165"/>
      <c r="N6" s="169" t="s">
        <v>647</v>
      </c>
      <c r="O6" s="170">
        <f>H26</f>
        <v>1.0119504630245026</v>
      </c>
      <c r="P6" s="171" t="s">
        <v>2</v>
      </c>
      <c r="Q6" s="172">
        <f>H52</f>
        <v>-12.372751413157271</v>
      </c>
      <c r="R6" s="172">
        <f>IF(Q6&lt;0,-$H$5,$H$6)</f>
        <v>-24</v>
      </c>
      <c r="S6" s="173" t="str">
        <f>IF(Q6&lt;0,IF(Q6&gt;R6,"[ OK ]","[ NOT OK ]"),IF(Q6&lt;R6,"[ OK ]","[ NOT OK ]"))</f>
        <v>[ OK ]</v>
      </c>
      <c r="T6" s="174">
        <f>H31</f>
        <v>-24.000000000000007</v>
      </c>
      <c r="U6" s="174">
        <f>IF(T6&lt;0,-$H$5,$H$6)</f>
        <v>-24</v>
      </c>
      <c r="V6" s="171" t="str">
        <f>IF(T6&lt;0,IF(T6&gt;=U6,"[ OK ]","[ NOT OK ]"),IF(T6&lt;=U6,"[ OK ]","[ NOT OK ]"))</f>
        <v>[ OK ]</v>
      </c>
    </row>
    <row r="7" spans="1:31" ht="19.149999999999999" customHeight="1" x14ac:dyDescent="0.25">
      <c r="A7" s="239"/>
      <c r="B7" s="280" t="s">
        <v>65</v>
      </c>
      <c r="C7" s="281"/>
      <c r="D7" s="281"/>
      <c r="E7" s="281"/>
      <c r="F7" s="281"/>
      <c r="G7" s="282"/>
      <c r="H7" s="285"/>
      <c r="I7" s="283"/>
      <c r="K7" s="165"/>
      <c r="S7" s="168"/>
      <c r="T7" s="168"/>
    </row>
    <row r="8" spans="1:31" ht="19.149999999999999" customHeight="1" x14ac:dyDescent="0.25">
      <c r="A8" s="239"/>
      <c r="B8" s="369" t="s">
        <v>62</v>
      </c>
      <c r="C8" s="281"/>
      <c r="D8" s="281"/>
      <c r="E8" s="281"/>
      <c r="F8" s="281"/>
      <c r="G8" s="249" t="s">
        <v>66</v>
      </c>
      <c r="H8" s="14">
        <f>0.45*'Input (1)'!H29</f>
        <v>22.5</v>
      </c>
      <c r="I8" s="283" t="s">
        <v>61</v>
      </c>
      <c r="K8" s="165"/>
      <c r="N8" s="633" t="s">
        <v>393</v>
      </c>
      <c r="O8" s="633"/>
      <c r="P8" s="633"/>
      <c r="Q8" s="633" t="s">
        <v>395</v>
      </c>
      <c r="R8" s="633"/>
      <c r="S8" s="633"/>
      <c r="T8" s="633"/>
      <c r="U8" s="633"/>
      <c r="V8" s="633"/>
    </row>
    <row r="9" spans="1:31" ht="19.149999999999999" customHeight="1" x14ac:dyDescent="0.25">
      <c r="A9" s="239"/>
      <c r="B9" s="369" t="s">
        <v>63</v>
      </c>
      <c r="C9" s="281"/>
      <c r="D9" s="281"/>
      <c r="E9" s="281"/>
      <c r="F9" s="281"/>
      <c r="G9" s="428" t="s">
        <v>1127</v>
      </c>
      <c r="H9" s="15">
        <f>0.5*'Input (1)'!H29^0.5</f>
        <v>3.5355339059327378</v>
      </c>
      <c r="I9" s="283" t="s">
        <v>61</v>
      </c>
      <c r="K9" s="165"/>
      <c r="N9" s="633" t="s">
        <v>392</v>
      </c>
      <c r="O9" s="633"/>
      <c r="P9" s="633"/>
      <c r="Q9" s="266" t="s">
        <v>391</v>
      </c>
      <c r="R9" s="266" t="s">
        <v>388</v>
      </c>
      <c r="S9" s="266" t="s">
        <v>389</v>
      </c>
      <c r="T9" s="267" t="s">
        <v>394</v>
      </c>
      <c r="U9" s="266" t="s">
        <v>388</v>
      </c>
      <c r="V9" s="266" t="s">
        <v>389</v>
      </c>
    </row>
    <row r="10" spans="1:31" ht="19.149999999999999" customHeight="1" x14ac:dyDescent="0.25">
      <c r="A10" s="239"/>
      <c r="B10" s="284"/>
      <c r="C10" s="281"/>
      <c r="D10" s="281"/>
      <c r="E10" s="281"/>
      <c r="F10" s="281"/>
      <c r="G10" s="281"/>
      <c r="H10" s="249"/>
      <c r="I10" s="286"/>
      <c r="J10" s="167"/>
      <c r="K10" s="165"/>
      <c r="N10" s="169" t="s">
        <v>646</v>
      </c>
      <c r="O10" s="170">
        <f>O5</f>
        <v>1.0880495369754974</v>
      </c>
      <c r="P10" s="171" t="s">
        <v>2</v>
      </c>
      <c r="Q10" s="172">
        <f>H92</f>
        <v>-10.728429667678991</v>
      </c>
      <c r="R10" s="172">
        <f>IF(Q10&lt;0,-$H$8,$H$9)</f>
        <v>-22.5</v>
      </c>
      <c r="S10" s="173" t="str">
        <f>IF(Q10&lt;0,IF(Q10&gt;R10,"[ OK ]","[ NOT OK ]"),IF(Q10&lt;R10,"[ OK ]","[ NOT OK ]"))</f>
        <v>[ OK ]</v>
      </c>
      <c r="T10" s="174">
        <f>H72</f>
        <v>-3.3912583082419423</v>
      </c>
      <c r="U10" s="174">
        <f>IF(T10&lt;0,-$H$8,$H$9)</f>
        <v>-22.5</v>
      </c>
      <c r="V10" s="171" t="str">
        <f>IF(T10&lt;0,IF(T10&gt;U10,"[ OK ]","[ NOT OK ]"),IF(T10&lt;U10,"[ OK ]","[ NOT OK ]"))</f>
        <v>[ OK ]</v>
      </c>
    </row>
    <row r="11" spans="1:31" ht="19.149999999999999" customHeight="1" x14ac:dyDescent="0.25">
      <c r="A11" s="239" t="s">
        <v>663</v>
      </c>
      <c r="B11" s="242" t="s">
        <v>664</v>
      </c>
      <c r="C11" s="199"/>
      <c r="D11" s="199"/>
      <c r="E11" s="199"/>
      <c r="F11" s="199"/>
      <c r="G11" s="199"/>
      <c r="H11" s="198"/>
      <c r="I11" s="278"/>
      <c r="N11" s="169" t="s">
        <v>647</v>
      </c>
      <c r="O11" s="170">
        <f>O6</f>
        <v>1.0119504630245026</v>
      </c>
      <c r="P11" s="171" t="s">
        <v>2</v>
      </c>
      <c r="Q11" s="172">
        <f>H93</f>
        <v>-9.467247044146049</v>
      </c>
      <c r="R11" s="172">
        <f>IF(Q11&lt;0,-$H$8,$H$9)</f>
        <v>-22.5</v>
      </c>
      <c r="S11" s="173" t="str">
        <f>IF(Q11&lt;0,IF(Q11&gt;R11,"[ OK ]","[ NOT OK ]"),IF(Q11&lt;R11,"[ OK ]","[ NOT OK ]"))</f>
        <v>[ OK ]</v>
      </c>
      <c r="T11" s="174">
        <f>H73</f>
        <v>-16.29125064154811</v>
      </c>
      <c r="U11" s="174">
        <f>IF(T11&lt;0,-$H$8,$H$9)</f>
        <v>-22.5</v>
      </c>
      <c r="V11" s="171" t="str">
        <f>IF(T11&lt;0,IF(T11&gt;=U11,"[ OK ]","[ NOT OK ]"),IF(T11&lt;=U11,"[ OK ]","[ NOT OK ]"))</f>
        <v>[ OK ]</v>
      </c>
    </row>
    <row r="12" spans="1:31" ht="19.149999999999999" customHeight="1" x14ac:dyDescent="0.25">
      <c r="A12" s="239"/>
      <c r="B12" s="242"/>
      <c r="C12" s="199"/>
      <c r="D12" s="199"/>
      <c r="E12" s="199"/>
      <c r="F12" s="199"/>
      <c r="G12" s="199"/>
      <c r="H12" s="198"/>
      <c r="I12" s="278"/>
      <c r="AC12" s="175"/>
      <c r="AE12" s="179"/>
    </row>
    <row r="13" spans="1:31" ht="19.149999999999999" customHeight="1" x14ac:dyDescent="0.25">
      <c r="A13" s="239"/>
      <c r="B13" s="242"/>
      <c r="C13" s="199"/>
      <c r="D13" s="199"/>
      <c r="E13" s="199"/>
      <c r="F13" s="199"/>
      <c r="G13" s="199"/>
      <c r="H13" s="198"/>
      <c r="I13" s="278"/>
      <c r="N13" s="633" t="s">
        <v>393</v>
      </c>
      <c r="O13" s="633"/>
      <c r="P13" s="633"/>
      <c r="Q13" s="633" t="s">
        <v>396</v>
      </c>
      <c r="R13" s="633"/>
      <c r="S13" s="633"/>
      <c r="T13" s="633"/>
      <c r="U13" s="633"/>
      <c r="V13" s="633"/>
    </row>
    <row r="14" spans="1:31" ht="19.149999999999999" customHeight="1" x14ac:dyDescent="0.25">
      <c r="A14" s="239"/>
      <c r="B14" s="242"/>
      <c r="C14" s="199"/>
      <c r="D14" s="199"/>
      <c r="E14" s="199"/>
      <c r="F14" s="199"/>
      <c r="G14" s="199"/>
      <c r="H14" s="198"/>
      <c r="I14" s="278"/>
      <c r="N14" s="633" t="s">
        <v>392</v>
      </c>
      <c r="O14" s="633"/>
      <c r="P14" s="633"/>
      <c r="Q14" s="266" t="s">
        <v>391</v>
      </c>
      <c r="R14" s="266" t="s">
        <v>388</v>
      </c>
      <c r="S14" s="266" t="s">
        <v>389</v>
      </c>
      <c r="T14" s="267" t="s">
        <v>394</v>
      </c>
      <c r="U14" s="266" t="s">
        <v>388</v>
      </c>
      <c r="V14" s="266" t="s">
        <v>389</v>
      </c>
    </row>
    <row r="15" spans="1:31" ht="19.149999999999999" customHeight="1" x14ac:dyDescent="0.25">
      <c r="A15" s="239"/>
      <c r="B15" s="242"/>
      <c r="C15" s="199"/>
      <c r="D15" s="199"/>
      <c r="E15" s="199"/>
      <c r="F15" s="199"/>
      <c r="G15" s="199"/>
      <c r="H15" s="198"/>
      <c r="I15" s="278"/>
      <c r="N15" s="169" t="s">
        <v>646</v>
      </c>
      <c r="O15" s="170">
        <f>O10</f>
        <v>1.0880495369754974</v>
      </c>
      <c r="P15" s="171" t="s">
        <v>2</v>
      </c>
      <c r="Q15" s="172">
        <f>Q10</f>
        <v>-10.728429667678991</v>
      </c>
      <c r="R15" s="172">
        <f>IF(Q15&lt;0,-$H$8,$H$9)</f>
        <v>-22.5</v>
      </c>
      <c r="S15" s="173" t="str">
        <f>IF(Q15&lt;0,IF(Q15&gt;R15,"[ OK ]","[ NOT OK ]"),IF(Q15&lt;R15,"[ OK ]","[ NOT OK ]"))</f>
        <v>[ OK ]</v>
      </c>
      <c r="T15" s="174">
        <f>H114</f>
        <v>-10.766239830306631</v>
      </c>
      <c r="U15" s="174">
        <f>IF(T15&lt;0,-$H$8,$H$9)</f>
        <v>-22.5</v>
      </c>
      <c r="V15" s="171" t="str">
        <f>IF(T15&lt;0,IF(T15&gt;U15,"[ OK ]","[ NOT OK ]"),IF(T15&lt;U15,"[ OK ]","[ NOT OK ]"))</f>
        <v>[ OK ]</v>
      </c>
    </row>
    <row r="16" spans="1:31" ht="19.149999999999999" customHeight="1" x14ac:dyDescent="0.25">
      <c r="A16" s="239"/>
      <c r="B16" s="242"/>
      <c r="C16" s="199"/>
      <c r="D16" s="199"/>
      <c r="E16" s="199"/>
      <c r="F16" s="199"/>
      <c r="G16" s="199"/>
      <c r="H16" s="198"/>
      <c r="I16" s="278"/>
      <c r="N16" s="169" t="s">
        <v>647</v>
      </c>
      <c r="O16" s="170">
        <f>O11</f>
        <v>1.0119504630245026</v>
      </c>
      <c r="P16" s="171" t="s">
        <v>2</v>
      </c>
      <c r="Q16" s="172">
        <f>Q11</f>
        <v>-9.467247044146049</v>
      </c>
      <c r="R16" s="172">
        <f>IF(Q16&lt;0,-$H$8,$H$9)</f>
        <v>-22.5</v>
      </c>
      <c r="S16" s="173" t="str">
        <f>IF(Q16&lt;0,IF(Q16&gt;R16,"[ OK ]","[ NOT OK ]"),IF(Q16&lt;R16,"[ OK ]","[ NOT OK ]"))</f>
        <v>[ OK ]</v>
      </c>
      <c r="T16" s="174">
        <f>H115</f>
        <v>-9.4320813551973366</v>
      </c>
      <c r="U16" s="174">
        <f>IF(T16&lt;0,-$H$8,$H$9)</f>
        <v>-22.5</v>
      </c>
      <c r="V16" s="171" t="str">
        <f>IF(T16&lt;0,IF(T16&gt;=U16,"[ OK ]","[ NOT OK ]"),IF(T16&lt;=U16,"[ OK ]","[ NOT OK ]"))</f>
        <v>[ OK ]</v>
      </c>
    </row>
    <row r="17" spans="1:22" ht="19.149999999999999" customHeight="1" x14ac:dyDescent="0.25">
      <c r="A17" s="239"/>
      <c r="B17" s="200"/>
      <c r="C17" s="199"/>
      <c r="D17" s="199"/>
      <c r="E17" s="199"/>
      <c r="F17" s="199"/>
      <c r="G17" s="199"/>
      <c r="H17" s="198"/>
      <c r="I17" s="278"/>
    </row>
    <row r="18" spans="1:22" ht="19.149999999999999" customHeight="1" x14ac:dyDescent="0.25">
      <c r="A18" s="239"/>
      <c r="B18" s="200"/>
      <c r="C18" s="199"/>
      <c r="D18" s="199"/>
      <c r="E18" s="199"/>
      <c r="F18" s="199"/>
      <c r="G18" s="199"/>
      <c r="H18" s="198"/>
      <c r="I18" s="278"/>
      <c r="N18" s="633" t="s">
        <v>393</v>
      </c>
      <c r="O18" s="633"/>
      <c r="P18" s="633"/>
      <c r="Q18" s="633" t="s">
        <v>1141</v>
      </c>
      <c r="R18" s="633"/>
      <c r="S18" s="633"/>
      <c r="T18" s="633"/>
      <c r="U18" s="633"/>
      <c r="V18" s="633"/>
    </row>
    <row r="19" spans="1:22" ht="19.149999999999999" customHeight="1" x14ac:dyDescent="0.25">
      <c r="A19" s="239"/>
      <c r="B19" s="200"/>
      <c r="C19" s="199"/>
      <c r="D19" s="199"/>
      <c r="E19" s="199"/>
      <c r="F19" s="199"/>
      <c r="G19" s="199"/>
      <c r="H19" s="198"/>
      <c r="I19" s="278"/>
      <c r="M19" s="164"/>
      <c r="N19" s="633" t="s">
        <v>392</v>
      </c>
      <c r="O19" s="633"/>
      <c r="P19" s="633"/>
      <c r="Q19" s="266" t="s">
        <v>391</v>
      </c>
      <c r="R19" s="266" t="s">
        <v>388</v>
      </c>
      <c r="S19" s="266" t="s">
        <v>389</v>
      </c>
      <c r="T19" s="267" t="s">
        <v>394</v>
      </c>
      <c r="U19" s="266" t="s">
        <v>388</v>
      </c>
      <c r="V19" s="266" t="s">
        <v>389</v>
      </c>
    </row>
    <row r="20" spans="1:22" ht="19.149999999999999" customHeight="1" x14ac:dyDescent="0.25">
      <c r="A20" s="239"/>
      <c r="B20" s="200"/>
      <c r="C20" s="199"/>
      <c r="D20" s="199"/>
      <c r="E20" s="199"/>
      <c r="F20" s="199"/>
      <c r="G20" s="199"/>
      <c r="H20" s="198"/>
      <c r="I20" s="278"/>
      <c r="L20" s="165"/>
      <c r="N20" s="169" t="s">
        <v>646</v>
      </c>
      <c r="O20" s="170">
        <f>H135</f>
        <v>0.97017846692262921</v>
      </c>
      <c r="P20" s="171" t="s">
        <v>2</v>
      </c>
      <c r="Q20" s="440" t="s">
        <v>845</v>
      </c>
      <c r="R20" s="440" t="s">
        <v>845</v>
      </c>
      <c r="S20" s="440" t="s">
        <v>845</v>
      </c>
      <c r="T20" s="174">
        <f>H141</f>
        <v>-3.9687373026375385</v>
      </c>
      <c r="U20" s="174">
        <f>IF(T20&lt;0,-$H$8,$H$9)*'Input (1)'!H33/'Input (1)'!H29</f>
        <v>-13.05</v>
      </c>
      <c r="V20" s="171" t="str">
        <f>IF(T20&lt;0,IF(T20&gt;U20,"[ OK ]","[ NOT OK ]"),IF(T20&lt;U20,"[ OK ]","[ NOT OK ]"))</f>
        <v>[ OK ]</v>
      </c>
    </row>
    <row r="21" spans="1:22" ht="19.149999999999999" customHeight="1" x14ac:dyDescent="0.25">
      <c r="A21" s="239"/>
      <c r="B21" s="200" t="s">
        <v>134</v>
      </c>
      <c r="C21" s="199"/>
      <c r="D21" s="199"/>
      <c r="E21" s="199"/>
      <c r="F21" s="199"/>
      <c r="G21" s="198" t="s">
        <v>939</v>
      </c>
      <c r="H21" s="171">
        <f>'Process (5)'!H3</f>
        <v>40</v>
      </c>
      <c r="I21" s="278" t="s">
        <v>28</v>
      </c>
      <c r="N21" s="169" t="s">
        <v>648</v>
      </c>
      <c r="O21" s="170">
        <f>O20-'Input (1)'!H13</f>
        <v>0.72017846692262921</v>
      </c>
      <c r="P21" s="171" t="s">
        <v>2</v>
      </c>
      <c r="Q21" s="440" t="s">
        <v>845</v>
      </c>
      <c r="R21" s="440" t="s">
        <v>845</v>
      </c>
      <c r="S21" s="440" t="s">
        <v>845</v>
      </c>
      <c r="T21" s="174">
        <f>H143</f>
        <v>-2.9460550235651564</v>
      </c>
      <c r="U21" s="174">
        <f>IF(T21&lt;0,-$H$8,$H$9)*'Input (1)'!H33/'Input (1)'!H29</f>
        <v>-13.05</v>
      </c>
      <c r="V21" s="171" t="str">
        <f>IF(T21&lt;0,IF(T21&gt;=U21,"[ OK ]","[ NOT OK ]"),IF(T21&lt;=U21,"[ OK ]","[ NOT OK ]"))</f>
        <v>[ OK ]</v>
      </c>
    </row>
    <row r="22" spans="1:22" ht="19.149999999999999" customHeight="1" x14ac:dyDescent="0.25">
      <c r="A22" s="239"/>
      <c r="B22" s="200" t="s">
        <v>235</v>
      </c>
      <c r="C22" s="199"/>
      <c r="D22" s="199"/>
      <c r="E22" s="199"/>
      <c r="F22" s="199"/>
      <c r="G22" s="198" t="s">
        <v>296</v>
      </c>
      <c r="H22" s="174">
        <f>'Process (2)'!H166</f>
        <v>9905.5396910481722</v>
      </c>
      <c r="I22" s="278" t="s">
        <v>40</v>
      </c>
      <c r="N22" s="169" t="s">
        <v>397</v>
      </c>
      <c r="O22" s="170">
        <f>O21</f>
        <v>0.72017846692262921</v>
      </c>
      <c r="P22" s="171" t="s">
        <v>2</v>
      </c>
      <c r="Q22" s="440" t="s">
        <v>845</v>
      </c>
      <c r="R22" s="440" t="s">
        <v>845</v>
      </c>
      <c r="S22" s="440" t="s">
        <v>845</v>
      </c>
      <c r="T22" s="174">
        <f>H142</f>
        <v>-14.927398893749373</v>
      </c>
      <c r="U22" s="174">
        <f>IF(T22&lt;0,-$H$8,$H$9)</f>
        <v>-22.5</v>
      </c>
      <c r="V22" s="171" t="str">
        <f>IF(T22&lt;0,IF(T22&gt;=U22,"[ OK ]","[ NOT OK ]"),IF(T22&lt;=U22,"[ OK ]","[ NOT OK ]"))</f>
        <v>[ OK ]</v>
      </c>
    </row>
    <row r="23" spans="1:22" ht="19.149999999999999" customHeight="1" x14ac:dyDescent="0.25">
      <c r="A23" s="239"/>
      <c r="B23" s="280" t="s">
        <v>139</v>
      </c>
      <c r="C23" s="281"/>
      <c r="D23" s="281"/>
      <c r="E23" s="281"/>
      <c r="F23" s="281"/>
      <c r="G23" s="251" t="s">
        <v>146</v>
      </c>
      <c r="H23" s="25">
        <f>'Input (3) &amp; Process (4)'!H71</f>
        <v>3611.0400000000013</v>
      </c>
      <c r="I23" s="256" t="s">
        <v>42</v>
      </c>
      <c r="N23" s="169" t="s">
        <v>647</v>
      </c>
      <c r="O23" s="170">
        <f>H136</f>
        <v>1.3798215330773709</v>
      </c>
      <c r="P23" s="171" t="s">
        <v>2</v>
      </c>
      <c r="Q23" s="440" t="s">
        <v>845</v>
      </c>
      <c r="R23" s="440" t="s">
        <v>845</v>
      </c>
      <c r="S23" s="440" t="s">
        <v>845</v>
      </c>
      <c r="T23" s="174">
        <f>H145</f>
        <v>-1.4595340741978857</v>
      </c>
      <c r="U23" s="174">
        <f>IF(T23&lt;0,-$H$8,$H$9)</f>
        <v>-22.5</v>
      </c>
      <c r="V23" s="171" t="str">
        <f>IF(T23&lt;0,IF(T23&gt;=U23,"[ OK ]","[ NOT OK ]"),IF(T23&lt;=U23,"[ OK ]","[ NOT OK ]"))</f>
        <v>[ OK ]</v>
      </c>
    </row>
    <row r="24" spans="1:22" ht="19.149999999999999" customHeight="1" x14ac:dyDescent="0.25">
      <c r="A24" s="239"/>
      <c r="B24" s="200" t="s">
        <v>383</v>
      </c>
      <c r="C24" s="199"/>
      <c r="D24" s="199"/>
      <c r="E24" s="199"/>
      <c r="F24" s="199"/>
      <c r="G24" s="198" t="s">
        <v>108</v>
      </c>
      <c r="H24" s="177">
        <f>'Process (2)'!H66</f>
        <v>0.75230000000000019</v>
      </c>
      <c r="I24" s="278" t="s">
        <v>127</v>
      </c>
    </row>
    <row r="25" spans="1:22" s="165" customFormat="1" ht="19.149999999999999" customHeight="1" x14ac:dyDescent="0.25">
      <c r="A25" s="239"/>
      <c r="B25" s="200" t="s">
        <v>103</v>
      </c>
      <c r="C25" s="199"/>
      <c r="D25" s="199"/>
      <c r="E25" s="199"/>
      <c r="F25" s="199"/>
      <c r="G25" s="198" t="s">
        <v>646</v>
      </c>
      <c r="H25" s="170">
        <f>'Process (2)'!H68</f>
        <v>1.0880495369754974</v>
      </c>
      <c r="I25" s="278" t="s">
        <v>2</v>
      </c>
      <c r="J25" s="176"/>
      <c r="K25" s="168"/>
      <c r="L25" s="168"/>
      <c r="M25" s="164"/>
    </row>
    <row r="26" spans="1:22" ht="19.149999999999999" customHeight="1" x14ac:dyDescent="0.25">
      <c r="A26" s="239"/>
      <c r="B26" s="200"/>
      <c r="C26" s="199"/>
      <c r="D26" s="199"/>
      <c r="E26" s="199"/>
      <c r="F26" s="199"/>
      <c r="G26" s="198" t="s">
        <v>647</v>
      </c>
      <c r="H26" s="170">
        <f>'Process (2)'!H67</f>
        <v>1.0119504630245026</v>
      </c>
      <c r="I26" s="278" t="s">
        <v>2</v>
      </c>
      <c r="J26" s="165"/>
      <c r="K26" s="165"/>
      <c r="L26" s="165"/>
      <c r="N26" s="91"/>
    </row>
    <row r="27" spans="1:22" ht="19.149999999999999" customHeight="1" x14ac:dyDescent="0.25">
      <c r="A27" s="239"/>
      <c r="B27" s="200" t="s">
        <v>105</v>
      </c>
      <c r="C27" s="199"/>
      <c r="D27" s="199"/>
      <c r="E27" s="199"/>
      <c r="F27" s="199"/>
      <c r="G27" s="198" t="s">
        <v>649</v>
      </c>
      <c r="H27" s="177">
        <f>'Process (2)'!H70</f>
        <v>0.38048637703086957</v>
      </c>
      <c r="I27" s="278" t="s">
        <v>129</v>
      </c>
      <c r="N27" s="91"/>
      <c r="S27" s="168"/>
      <c r="T27" s="168"/>
    </row>
    <row r="28" spans="1:22" ht="19.149999999999999" customHeight="1" x14ac:dyDescent="0.25">
      <c r="A28" s="239"/>
      <c r="B28" s="200" t="s">
        <v>106</v>
      </c>
      <c r="C28" s="199"/>
      <c r="D28" s="199"/>
      <c r="E28" s="199"/>
      <c r="F28" s="199"/>
      <c r="G28" s="198" t="s">
        <v>650</v>
      </c>
      <c r="H28" s="177">
        <f>'Process (2)'!H71</f>
        <v>0.40909910265429483</v>
      </c>
      <c r="I28" s="278" t="s">
        <v>129</v>
      </c>
      <c r="N28" s="91"/>
      <c r="S28" s="168"/>
      <c r="T28" s="168"/>
    </row>
    <row r="29" spans="1:22" ht="19.149999999999999" customHeight="1" x14ac:dyDescent="0.25">
      <c r="A29" s="240"/>
      <c r="B29" s="280" t="s">
        <v>258</v>
      </c>
      <c r="C29" s="281"/>
      <c r="D29" s="281"/>
      <c r="E29" s="281"/>
      <c r="F29" s="281"/>
      <c r="G29" s="282" t="s">
        <v>651</v>
      </c>
      <c r="H29" s="178">
        <f>'Process (3)'!I4</f>
        <v>0.81195046302450269</v>
      </c>
      <c r="I29" s="283" t="s">
        <v>2</v>
      </c>
      <c r="S29" s="168"/>
      <c r="T29" s="168"/>
    </row>
    <row r="30" spans="1:22" ht="19.149999999999999" customHeight="1" x14ac:dyDescent="0.25">
      <c r="A30" s="239"/>
      <c r="B30" s="200" t="s">
        <v>141</v>
      </c>
      <c r="C30" s="199"/>
      <c r="D30" s="199"/>
      <c r="E30" s="199"/>
      <c r="F30" s="199"/>
      <c r="G30" s="198" t="s">
        <v>652</v>
      </c>
      <c r="H30" s="174">
        <f>(-H22/H24+H22*H29/H27-H23/H27)/1000</f>
        <v>-1.5193695500330178</v>
      </c>
      <c r="I30" s="278" t="s">
        <v>28</v>
      </c>
      <c r="S30" s="168"/>
      <c r="T30" s="168"/>
    </row>
    <row r="31" spans="1:22" ht="19.149999999999999" customHeight="1" x14ac:dyDescent="0.25">
      <c r="A31" s="239"/>
      <c r="B31" s="200" t="s">
        <v>142</v>
      </c>
      <c r="C31" s="199"/>
      <c r="D31" s="199"/>
      <c r="E31" s="199"/>
      <c r="F31" s="199"/>
      <c r="G31" s="198" t="s">
        <v>653</v>
      </c>
      <c r="H31" s="174">
        <f>(-H22/H24-H22*H29/H28+H23/H28)/1000</f>
        <v>-24.000000000000007</v>
      </c>
      <c r="I31" s="278" t="s">
        <v>28</v>
      </c>
      <c r="S31" s="168"/>
      <c r="T31" s="168"/>
    </row>
    <row r="32" spans="1:22" ht="19.149999999999999" customHeight="1" x14ac:dyDescent="0.25">
      <c r="A32" s="239"/>
      <c r="B32" s="200"/>
      <c r="C32" s="199"/>
      <c r="D32" s="199"/>
      <c r="E32" s="199"/>
      <c r="F32" s="199"/>
      <c r="G32" s="199"/>
      <c r="H32" s="198"/>
      <c r="I32" s="278"/>
      <c r="S32" s="168"/>
      <c r="T32" s="168"/>
    </row>
    <row r="33" spans="1:20" ht="19.149999999999999" customHeight="1" x14ac:dyDescent="0.25">
      <c r="A33" s="239" t="s">
        <v>665</v>
      </c>
      <c r="B33" s="242" t="s">
        <v>666</v>
      </c>
      <c r="C33" s="199"/>
      <c r="D33" s="199"/>
      <c r="E33" s="199"/>
      <c r="F33" s="199"/>
      <c r="G33" s="199"/>
      <c r="H33" s="198"/>
      <c r="I33" s="278"/>
      <c r="M33" s="366"/>
      <c r="N33" s="91"/>
      <c r="S33" s="168"/>
      <c r="T33" s="168"/>
    </row>
    <row r="34" spans="1:20" ht="19.149999999999999" customHeight="1" x14ac:dyDescent="0.25">
      <c r="A34" s="239"/>
      <c r="B34" s="242"/>
      <c r="C34" s="199"/>
      <c r="D34" s="199"/>
      <c r="E34" s="199"/>
      <c r="F34" s="199"/>
      <c r="G34" s="199"/>
      <c r="H34" s="198"/>
      <c r="I34" s="278"/>
      <c r="M34" s="366"/>
      <c r="N34" s="91"/>
      <c r="S34" s="168"/>
      <c r="T34" s="168"/>
    </row>
    <row r="35" spans="1:20" ht="19.149999999999999" customHeight="1" x14ac:dyDescent="0.25">
      <c r="A35" s="239"/>
      <c r="B35" s="242"/>
      <c r="C35" s="199"/>
      <c r="D35" s="199"/>
      <c r="E35" s="199"/>
      <c r="F35" s="199"/>
      <c r="G35" s="199"/>
      <c r="H35" s="198"/>
      <c r="I35" s="278"/>
      <c r="M35" s="366"/>
      <c r="N35" s="91"/>
      <c r="S35" s="168"/>
      <c r="T35" s="168"/>
    </row>
    <row r="36" spans="1:20" ht="19.149999999999999" customHeight="1" x14ac:dyDescent="0.25">
      <c r="A36" s="239"/>
      <c r="B36" s="242"/>
      <c r="C36" s="199"/>
      <c r="D36" s="199"/>
      <c r="E36" s="199"/>
      <c r="F36" s="199"/>
      <c r="G36" s="199"/>
      <c r="H36" s="198"/>
      <c r="I36" s="278"/>
      <c r="M36" s="366"/>
      <c r="N36" s="91"/>
      <c r="S36" s="168"/>
      <c r="T36" s="168"/>
    </row>
    <row r="37" spans="1:20" ht="19.149999999999999" customHeight="1" x14ac:dyDescent="0.25">
      <c r="A37" s="239"/>
      <c r="B37" s="242"/>
      <c r="C37" s="199"/>
      <c r="D37" s="199"/>
      <c r="E37" s="199"/>
      <c r="F37" s="199"/>
      <c r="G37" s="199"/>
      <c r="H37" s="198"/>
      <c r="I37" s="278"/>
      <c r="M37" s="366"/>
      <c r="N37" s="91"/>
      <c r="S37" s="168"/>
      <c r="T37" s="168"/>
    </row>
    <row r="38" spans="1:20" ht="19.149999999999999" customHeight="1" x14ac:dyDescent="0.25">
      <c r="A38" s="239"/>
      <c r="B38" s="242"/>
      <c r="C38" s="199"/>
      <c r="D38" s="199"/>
      <c r="E38" s="199"/>
      <c r="F38" s="199"/>
      <c r="G38" s="199"/>
      <c r="H38" s="198"/>
      <c r="I38" s="278"/>
      <c r="M38" s="366"/>
      <c r="N38" s="91"/>
      <c r="S38" s="168"/>
      <c r="T38" s="168"/>
    </row>
    <row r="39" spans="1:20" ht="19.149999999999999" customHeight="1" x14ac:dyDescent="0.25">
      <c r="A39" s="239"/>
      <c r="B39" s="242"/>
      <c r="C39" s="199"/>
      <c r="D39" s="199"/>
      <c r="E39" s="199"/>
      <c r="F39" s="199"/>
      <c r="G39" s="199"/>
      <c r="H39" s="198"/>
      <c r="I39" s="278"/>
      <c r="N39" s="91"/>
      <c r="S39" s="168"/>
      <c r="T39" s="168"/>
    </row>
    <row r="40" spans="1:20" ht="19.149999999999999" customHeight="1" x14ac:dyDescent="0.25">
      <c r="A40" s="239"/>
      <c r="B40" s="242"/>
      <c r="C40" s="199"/>
      <c r="D40" s="199"/>
      <c r="E40" s="199"/>
      <c r="F40" s="199"/>
      <c r="G40" s="199"/>
      <c r="H40" s="198"/>
      <c r="I40" s="278"/>
      <c r="M40" s="366"/>
      <c r="N40" s="91"/>
      <c r="S40" s="168"/>
      <c r="T40" s="168"/>
    </row>
    <row r="41" spans="1:20" ht="19.149999999999999" customHeight="1" x14ac:dyDescent="0.25">
      <c r="A41" s="239"/>
      <c r="B41" s="242"/>
      <c r="C41" s="199"/>
      <c r="D41" s="199"/>
      <c r="E41" s="199"/>
      <c r="F41" s="199"/>
      <c r="G41" s="199"/>
      <c r="H41" s="198"/>
      <c r="I41" s="278"/>
      <c r="N41" s="68"/>
    </row>
    <row r="42" spans="1:20" ht="19.149999999999999" customHeight="1" x14ac:dyDescent="0.25">
      <c r="A42" s="239"/>
      <c r="B42" s="242"/>
      <c r="C42" s="199"/>
      <c r="D42" s="199"/>
      <c r="E42" s="199"/>
      <c r="F42" s="199"/>
      <c r="G42" s="199"/>
      <c r="H42" s="198"/>
      <c r="I42" s="278"/>
    </row>
    <row r="43" spans="1:20" ht="19.149999999999999" customHeight="1" x14ac:dyDescent="0.25">
      <c r="A43" s="239"/>
      <c r="B43" s="200" t="s">
        <v>134</v>
      </c>
      <c r="C43" s="199"/>
      <c r="D43" s="199"/>
      <c r="E43" s="199"/>
      <c r="F43" s="199"/>
      <c r="G43" s="198" t="s">
        <v>382</v>
      </c>
      <c r="H43" s="174">
        <f>H21</f>
        <v>40</v>
      </c>
      <c r="I43" s="278" t="s">
        <v>28</v>
      </c>
    </row>
    <row r="44" spans="1:20" ht="19.149999999999999" customHeight="1" x14ac:dyDescent="0.25">
      <c r="A44" s="239"/>
      <c r="B44" s="200" t="s">
        <v>235</v>
      </c>
      <c r="C44" s="199"/>
      <c r="D44" s="199"/>
      <c r="E44" s="199"/>
      <c r="F44" s="199"/>
      <c r="G44" s="198" t="s">
        <v>238</v>
      </c>
      <c r="H44" s="174">
        <f>H22</f>
        <v>9905.5396910481722</v>
      </c>
      <c r="I44" s="278" t="s">
        <v>40</v>
      </c>
    </row>
    <row r="45" spans="1:20" ht="19.149999999999999" customHeight="1" x14ac:dyDescent="0.25">
      <c r="A45" s="239"/>
      <c r="B45" s="200" t="s">
        <v>384</v>
      </c>
      <c r="C45" s="199"/>
      <c r="D45" s="199"/>
      <c r="E45" s="199"/>
      <c r="F45" s="199"/>
      <c r="G45" s="198" t="s">
        <v>108</v>
      </c>
      <c r="H45" s="170">
        <f>H24</f>
        <v>0.75230000000000019</v>
      </c>
      <c r="I45" s="278" t="s">
        <v>127</v>
      </c>
    </row>
    <row r="46" spans="1:20" s="165" customFormat="1" ht="19.149999999999999" customHeight="1" x14ac:dyDescent="0.25">
      <c r="A46" s="239"/>
      <c r="B46" s="200" t="s">
        <v>103</v>
      </c>
      <c r="C46" s="199"/>
      <c r="D46" s="199"/>
      <c r="E46" s="199"/>
      <c r="F46" s="199"/>
      <c r="G46" s="198" t="s">
        <v>646</v>
      </c>
      <c r="H46" s="170">
        <f>H25</f>
        <v>1.0880495369754974</v>
      </c>
      <c r="I46" s="278" t="s">
        <v>2</v>
      </c>
      <c r="J46" s="176"/>
      <c r="K46" s="168"/>
      <c r="L46" s="168"/>
      <c r="M46" s="164"/>
      <c r="S46" s="166"/>
      <c r="T46" s="166"/>
    </row>
    <row r="47" spans="1:20" ht="19.149999999999999" customHeight="1" x14ac:dyDescent="0.25">
      <c r="A47" s="239"/>
      <c r="B47" s="200"/>
      <c r="C47" s="199"/>
      <c r="D47" s="199"/>
      <c r="E47" s="199"/>
      <c r="F47" s="199"/>
      <c r="G47" s="198" t="s">
        <v>647</v>
      </c>
      <c r="H47" s="170">
        <f>H26</f>
        <v>1.0119504630245026</v>
      </c>
      <c r="I47" s="278" t="s">
        <v>2</v>
      </c>
      <c r="J47" s="165"/>
      <c r="K47" s="165"/>
      <c r="L47" s="165"/>
    </row>
    <row r="48" spans="1:20" ht="19.149999999999999" customHeight="1" x14ac:dyDescent="0.25">
      <c r="A48" s="239"/>
      <c r="B48" s="200" t="s">
        <v>105</v>
      </c>
      <c r="C48" s="199"/>
      <c r="D48" s="199"/>
      <c r="E48" s="199"/>
      <c r="F48" s="199"/>
      <c r="G48" s="198" t="s">
        <v>649</v>
      </c>
      <c r="H48" s="170">
        <f>H27</f>
        <v>0.38048637703086957</v>
      </c>
      <c r="I48" s="278" t="s">
        <v>129</v>
      </c>
    </row>
    <row r="49" spans="1:20" ht="19.149999999999999" customHeight="1" x14ac:dyDescent="0.25">
      <c r="A49" s="239"/>
      <c r="B49" s="200" t="s">
        <v>106</v>
      </c>
      <c r="C49" s="199"/>
      <c r="D49" s="199"/>
      <c r="E49" s="199"/>
      <c r="F49" s="199"/>
      <c r="G49" s="198" t="s">
        <v>650</v>
      </c>
      <c r="H49" s="170">
        <f>H28</f>
        <v>0.40909910265429483</v>
      </c>
      <c r="I49" s="278" t="s">
        <v>129</v>
      </c>
    </row>
    <row r="50" spans="1:20" ht="19.149999999999999" customHeight="1" x14ac:dyDescent="0.25">
      <c r="A50" s="240"/>
      <c r="B50" s="280" t="s">
        <v>258</v>
      </c>
      <c r="C50" s="281"/>
      <c r="D50" s="281"/>
      <c r="E50" s="281"/>
      <c r="F50" s="281"/>
      <c r="G50" s="282" t="s">
        <v>651</v>
      </c>
      <c r="H50" s="170">
        <f>'Process (3)'!N5</f>
        <v>-3.2802798706189913E-2</v>
      </c>
      <c r="I50" s="283" t="s">
        <v>2</v>
      </c>
    </row>
    <row r="51" spans="1:20" ht="19.149999999999999" customHeight="1" x14ac:dyDescent="0.25">
      <c r="A51" s="239"/>
      <c r="B51" s="200" t="s">
        <v>141</v>
      </c>
      <c r="C51" s="199"/>
      <c r="D51" s="199"/>
      <c r="E51" s="199"/>
      <c r="F51" s="199"/>
      <c r="G51" s="198" t="s">
        <v>654</v>
      </c>
      <c r="H51" s="174">
        <f>(-H44/H45+H44*H50/H48)/1000</f>
        <v>-14.020991816603312</v>
      </c>
      <c r="I51" s="278" t="s">
        <v>28</v>
      </c>
    </row>
    <row r="52" spans="1:20" ht="19.149999999999999" customHeight="1" x14ac:dyDescent="0.25">
      <c r="A52" s="239"/>
      <c r="B52" s="200" t="s">
        <v>142</v>
      </c>
      <c r="C52" s="199"/>
      <c r="D52" s="199"/>
      <c r="E52" s="199"/>
      <c r="F52" s="199"/>
      <c r="G52" s="198" t="s">
        <v>655</v>
      </c>
      <c r="H52" s="174">
        <f>(-H44/H45-H44*H50/H49)/1000</f>
        <v>-12.372751413157271</v>
      </c>
      <c r="I52" s="278" t="s">
        <v>28</v>
      </c>
    </row>
    <row r="53" spans="1:20" ht="19.149999999999999" customHeight="1" x14ac:dyDescent="0.25">
      <c r="A53" s="239"/>
      <c r="B53" s="200"/>
      <c r="C53" s="199"/>
      <c r="D53" s="199"/>
      <c r="E53" s="199"/>
      <c r="F53" s="199"/>
      <c r="G53" s="199"/>
      <c r="H53" s="198"/>
      <c r="I53" s="278"/>
    </row>
    <row r="54" spans="1:20" ht="19.149999999999999" customHeight="1" x14ac:dyDescent="0.25">
      <c r="A54" s="239" t="s">
        <v>667</v>
      </c>
      <c r="B54" s="242" t="s">
        <v>668</v>
      </c>
      <c r="C54" s="199"/>
      <c r="D54" s="199"/>
      <c r="E54" s="199"/>
      <c r="F54" s="199"/>
      <c r="G54" s="199"/>
      <c r="H54" s="198"/>
      <c r="I54" s="278"/>
    </row>
    <row r="55" spans="1:20" ht="19.149999999999999" customHeight="1" x14ac:dyDescent="0.25">
      <c r="A55" s="239"/>
      <c r="B55" s="200"/>
      <c r="C55" s="199"/>
      <c r="D55" s="199"/>
      <c r="E55" s="199"/>
      <c r="F55" s="199"/>
      <c r="G55" s="199"/>
      <c r="H55" s="198"/>
      <c r="I55" s="278"/>
    </row>
    <row r="56" spans="1:20" ht="19.149999999999999" customHeight="1" x14ac:dyDescent="0.25">
      <c r="A56" s="239"/>
      <c r="B56" s="200"/>
      <c r="C56" s="199"/>
      <c r="D56" s="199"/>
      <c r="E56" s="199"/>
      <c r="F56" s="199"/>
      <c r="G56" s="199"/>
      <c r="H56" s="198"/>
      <c r="I56" s="278"/>
    </row>
    <row r="57" spans="1:20" ht="19.149999999999999" customHeight="1" x14ac:dyDescent="0.25">
      <c r="A57" s="239"/>
      <c r="B57" s="200"/>
      <c r="C57" s="199"/>
      <c r="D57" s="199"/>
      <c r="E57" s="199"/>
      <c r="F57" s="199"/>
      <c r="G57" s="199"/>
      <c r="H57" s="198"/>
      <c r="I57" s="278"/>
    </row>
    <row r="58" spans="1:20" ht="19.149999999999999" customHeight="1" x14ac:dyDescent="0.25">
      <c r="A58" s="239"/>
      <c r="B58" s="200"/>
      <c r="C58" s="199"/>
      <c r="D58" s="199"/>
      <c r="E58" s="199"/>
      <c r="F58" s="199"/>
      <c r="G58" s="199"/>
      <c r="H58" s="198"/>
      <c r="I58" s="278"/>
      <c r="M58" s="366"/>
      <c r="S58" s="367"/>
      <c r="T58" s="367"/>
    </row>
    <row r="59" spans="1:20" ht="19.149999999999999" customHeight="1" x14ac:dyDescent="0.25">
      <c r="A59" s="239"/>
      <c r="B59" s="200"/>
      <c r="C59" s="199"/>
      <c r="D59" s="199"/>
      <c r="E59" s="199"/>
      <c r="F59" s="199"/>
      <c r="G59" s="199"/>
      <c r="H59" s="198"/>
      <c r="I59" s="278"/>
      <c r="M59" s="366"/>
      <c r="S59" s="367"/>
      <c r="T59" s="367"/>
    </row>
    <row r="60" spans="1:20" ht="19.149999999999999" customHeight="1" x14ac:dyDescent="0.25">
      <c r="A60" s="239"/>
      <c r="B60" s="200"/>
      <c r="C60" s="199"/>
      <c r="D60" s="199"/>
      <c r="E60" s="199"/>
      <c r="F60" s="199"/>
      <c r="G60" s="199"/>
      <c r="H60" s="198"/>
      <c r="I60" s="278"/>
      <c r="M60" s="366"/>
      <c r="S60" s="367"/>
      <c r="T60" s="367"/>
    </row>
    <row r="61" spans="1:20" ht="19.149999999999999" customHeight="1" x14ac:dyDescent="0.25">
      <c r="A61" s="239"/>
      <c r="B61" s="200"/>
      <c r="C61" s="199"/>
      <c r="D61" s="199"/>
      <c r="E61" s="199"/>
      <c r="F61" s="199"/>
      <c r="G61" s="199"/>
      <c r="H61" s="198"/>
      <c r="I61" s="278"/>
      <c r="M61" s="164"/>
    </row>
    <row r="62" spans="1:20" ht="19.149999999999999" customHeight="1" x14ac:dyDescent="0.25">
      <c r="A62" s="239"/>
      <c r="B62" s="200"/>
      <c r="C62" s="199"/>
      <c r="D62" s="199"/>
      <c r="E62" s="199"/>
      <c r="F62" s="199"/>
      <c r="G62" s="199"/>
      <c r="H62" s="198"/>
      <c r="I62" s="278"/>
      <c r="L62" s="165"/>
    </row>
    <row r="63" spans="1:20" ht="19.149999999999999" customHeight="1" x14ac:dyDescent="0.25">
      <c r="A63" s="239"/>
      <c r="B63" s="200"/>
      <c r="C63" s="199"/>
      <c r="D63" s="199"/>
      <c r="E63" s="199"/>
      <c r="F63" s="199"/>
      <c r="G63" s="199"/>
      <c r="H63" s="198"/>
      <c r="I63" s="278"/>
    </row>
    <row r="64" spans="1:20" ht="19.149999999999999" customHeight="1" x14ac:dyDescent="0.25">
      <c r="A64" s="239"/>
      <c r="B64" s="200" t="s">
        <v>235</v>
      </c>
      <c r="C64" s="199"/>
      <c r="D64" s="199"/>
      <c r="E64" s="199"/>
      <c r="F64" s="199"/>
      <c r="G64" s="198" t="s">
        <v>656</v>
      </c>
      <c r="H64" s="174">
        <f>'Input (3) &amp; Process (4)'!H127</f>
        <v>7579.4128750556474</v>
      </c>
      <c r="I64" s="278" t="s">
        <v>40</v>
      </c>
    </row>
    <row r="65" spans="1:20" ht="19.149999999999999" customHeight="1" x14ac:dyDescent="0.25">
      <c r="A65" s="239"/>
      <c r="B65" s="280" t="s">
        <v>139</v>
      </c>
      <c r="C65" s="281"/>
      <c r="D65" s="281"/>
      <c r="E65" s="281"/>
      <c r="F65" s="281"/>
      <c r="G65" s="251" t="s">
        <v>146</v>
      </c>
      <c r="H65" s="148">
        <f t="shared" ref="H65:H71" si="0">H23</f>
        <v>3611.0400000000013</v>
      </c>
      <c r="I65" s="256" t="s">
        <v>42</v>
      </c>
    </row>
    <row r="66" spans="1:20" ht="19.149999999999999" customHeight="1" x14ac:dyDescent="0.25">
      <c r="A66" s="239"/>
      <c r="B66" s="200" t="s">
        <v>383</v>
      </c>
      <c r="C66" s="199"/>
      <c r="D66" s="199"/>
      <c r="E66" s="199"/>
      <c r="F66" s="199"/>
      <c r="G66" s="198" t="s">
        <v>108</v>
      </c>
      <c r="H66" s="177">
        <f t="shared" si="0"/>
        <v>0.75230000000000019</v>
      </c>
      <c r="I66" s="278" t="s">
        <v>127</v>
      </c>
    </row>
    <row r="67" spans="1:20" s="165" customFormat="1" ht="19.149999999999999" customHeight="1" x14ac:dyDescent="0.25">
      <c r="A67" s="239"/>
      <c r="B67" s="200" t="s">
        <v>103</v>
      </c>
      <c r="C67" s="199"/>
      <c r="D67" s="199"/>
      <c r="E67" s="199"/>
      <c r="F67" s="199"/>
      <c r="G67" s="198" t="s">
        <v>646</v>
      </c>
      <c r="H67" s="177">
        <f t="shared" si="0"/>
        <v>1.0880495369754974</v>
      </c>
      <c r="I67" s="278" t="s">
        <v>2</v>
      </c>
      <c r="J67" s="176"/>
      <c r="K67" s="168"/>
      <c r="L67" s="168"/>
      <c r="M67" s="164"/>
      <c r="S67" s="166"/>
      <c r="T67" s="166"/>
    </row>
    <row r="68" spans="1:20" ht="19.149999999999999" customHeight="1" x14ac:dyDescent="0.25">
      <c r="A68" s="239"/>
      <c r="B68" s="200"/>
      <c r="C68" s="199"/>
      <c r="D68" s="199"/>
      <c r="E68" s="199"/>
      <c r="F68" s="199"/>
      <c r="G68" s="198" t="s">
        <v>647</v>
      </c>
      <c r="H68" s="177">
        <f t="shared" si="0"/>
        <v>1.0119504630245026</v>
      </c>
      <c r="I68" s="278" t="s">
        <v>2</v>
      </c>
      <c r="J68" s="165"/>
      <c r="K68" s="165"/>
      <c r="L68" s="165"/>
    </row>
    <row r="69" spans="1:20" ht="19.149999999999999" customHeight="1" x14ac:dyDescent="0.25">
      <c r="A69" s="239"/>
      <c r="B69" s="200" t="s">
        <v>105</v>
      </c>
      <c r="C69" s="199"/>
      <c r="D69" s="199"/>
      <c r="E69" s="199"/>
      <c r="F69" s="199"/>
      <c r="G69" s="198" t="s">
        <v>649</v>
      </c>
      <c r="H69" s="177">
        <f t="shared" si="0"/>
        <v>0.38048637703086957</v>
      </c>
      <c r="I69" s="278" t="s">
        <v>129</v>
      </c>
    </row>
    <row r="70" spans="1:20" ht="19.149999999999999" customHeight="1" x14ac:dyDescent="0.25">
      <c r="A70" s="239"/>
      <c r="B70" s="200" t="s">
        <v>106</v>
      </c>
      <c r="C70" s="199"/>
      <c r="D70" s="199"/>
      <c r="E70" s="199"/>
      <c r="F70" s="199"/>
      <c r="G70" s="198" t="s">
        <v>650</v>
      </c>
      <c r="H70" s="177">
        <f t="shared" si="0"/>
        <v>0.40909910265429483</v>
      </c>
      <c r="I70" s="278" t="s">
        <v>129</v>
      </c>
    </row>
    <row r="71" spans="1:20" ht="19.149999999999999" customHeight="1" x14ac:dyDescent="0.25">
      <c r="A71" s="240"/>
      <c r="B71" s="280" t="s">
        <v>258</v>
      </c>
      <c r="C71" s="281"/>
      <c r="D71" s="281"/>
      <c r="E71" s="281"/>
      <c r="F71" s="281"/>
      <c r="G71" s="282" t="s">
        <v>651</v>
      </c>
      <c r="H71" s="177">
        <f t="shared" si="0"/>
        <v>0.81195046302450269</v>
      </c>
      <c r="I71" s="283" t="s">
        <v>2</v>
      </c>
    </row>
    <row r="72" spans="1:20" ht="19.149999999999999" customHeight="1" x14ac:dyDescent="0.25">
      <c r="A72" s="239"/>
      <c r="B72" s="200" t="s">
        <v>141</v>
      </c>
      <c r="C72" s="199"/>
      <c r="D72" s="199"/>
      <c r="E72" s="199"/>
      <c r="F72" s="199"/>
      <c r="G72" s="198" t="s">
        <v>657</v>
      </c>
      <c r="H72" s="174">
        <f>(-H64/H66+H64*H71/H69-H65/H69)/1000</f>
        <v>-3.3912583082419423</v>
      </c>
      <c r="I72" s="278" t="s">
        <v>28</v>
      </c>
    </row>
    <row r="73" spans="1:20" ht="19.149999999999999" customHeight="1" x14ac:dyDescent="0.25">
      <c r="A73" s="239"/>
      <c r="B73" s="200" t="s">
        <v>142</v>
      </c>
      <c r="C73" s="199"/>
      <c r="D73" s="199"/>
      <c r="E73" s="199"/>
      <c r="F73" s="199"/>
      <c r="G73" s="198" t="s">
        <v>658</v>
      </c>
      <c r="H73" s="174">
        <f>(-H64/H66-H64*H71/H70+H65/H70)/1000</f>
        <v>-16.29125064154811</v>
      </c>
      <c r="I73" s="278" t="s">
        <v>28</v>
      </c>
      <c r="M73" s="366"/>
      <c r="S73" s="367"/>
      <c r="T73" s="367"/>
    </row>
    <row r="74" spans="1:20" ht="19.149999999999999" customHeight="1" x14ac:dyDescent="0.25">
      <c r="A74" s="239"/>
      <c r="B74" s="200"/>
      <c r="C74" s="199"/>
      <c r="D74" s="199"/>
      <c r="E74" s="199"/>
      <c r="F74" s="199"/>
      <c r="G74" s="199"/>
      <c r="H74" s="198"/>
      <c r="I74" s="278"/>
      <c r="M74" s="366"/>
      <c r="S74" s="367"/>
      <c r="T74" s="367"/>
    </row>
    <row r="75" spans="1:20" ht="19.149999999999999" customHeight="1" x14ac:dyDescent="0.25">
      <c r="A75" s="239" t="s">
        <v>669</v>
      </c>
      <c r="B75" s="242" t="s">
        <v>670</v>
      </c>
      <c r="C75" s="199"/>
      <c r="D75" s="199"/>
      <c r="E75" s="199"/>
      <c r="F75" s="199"/>
      <c r="G75" s="199"/>
      <c r="H75" s="198"/>
      <c r="I75" s="278"/>
      <c r="M75" s="366"/>
      <c r="S75" s="367"/>
      <c r="T75" s="367"/>
    </row>
    <row r="76" spans="1:20" ht="19.149999999999999" customHeight="1" x14ac:dyDescent="0.25">
      <c r="A76" s="239"/>
      <c r="B76" s="242"/>
      <c r="C76" s="199"/>
      <c r="D76" s="199"/>
      <c r="E76" s="199"/>
      <c r="F76" s="199"/>
      <c r="G76" s="199"/>
      <c r="H76" s="198"/>
      <c r="I76" s="278"/>
      <c r="M76" s="366"/>
      <c r="S76" s="367"/>
      <c r="T76" s="367"/>
    </row>
    <row r="77" spans="1:20" ht="19.149999999999999" customHeight="1" x14ac:dyDescent="0.25">
      <c r="A77" s="239"/>
      <c r="B77" s="242"/>
      <c r="C77" s="199"/>
      <c r="D77" s="199"/>
      <c r="E77" s="199"/>
      <c r="F77" s="199"/>
      <c r="G77" s="199"/>
      <c r="H77" s="198"/>
      <c r="I77" s="278"/>
      <c r="M77" s="366"/>
      <c r="S77" s="367"/>
      <c r="T77" s="367"/>
    </row>
    <row r="78" spans="1:20" ht="19.149999999999999" customHeight="1" x14ac:dyDescent="0.25">
      <c r="A78" s="239"/>
      <c r="B78" s="242"/>
      <c r="C78" s="199"/>
      <c r="D78" s="199"/>
      <c r="E78" s="199"/>
      <c r="F78" s="199"/>
      <c r="G78" s="199"/>
      <c r="H78" s="198"/>
      <c r="I78" s="278"/>
      <c r="M78" s="366"/>
      <c r="S78" s="367"/>
      <c r="T78" s="367"/>
    </row>
    <row r="79" spans="1:20" ht="19.149999999999999" customHeight="1" x14ac:dyDescent="0.25">
      <c r="A79" s="239"/>
      <c r="B79" s="242"/>
      <c r="C79" s="199"/>
      <c r="D79" s="199"/>
      <c r="E79" s="199"/>
      <c r="F79" s="199"/>
      <c r="G79" s="199"/>
      <c r="H79" s="198"/>
      <c r="I79" s="278"/>
      <c r="M79" s="366"/>
      <c r="S79" s="367"/>
      <c r="T79" s="367"/>
    </row>
    <row r="80" spans="1:20" ht="19.149999999999999" customHeight="1" x14ac:dyDescent="0.25">
      <c r="A80" s="239"/>
      <c r="B80" s="242"/>
      <c r="C80" s="199"/>
      <c r="D80" s="199"/>
      <c r="E80" s="199"/>
      <c r="F80" s="199"/>
      <c r="G80" s="199"/>
      <c r="H80" s="198"/>
      <c r="I80" s="278"/>
      <c r="M80" s="366"/>
      <c r="S80" s="367"/>
      <c r="T80" s="367"/>
    </row>
    <row r="81" spans="1:20" ht="19.149999999999999" customHeight="1" x14ac:dyDescent="0.25">
      <c r="A81" s="239"/>
      <c r="B81" s="242"/>
      <c r="C81" s="199"/>
      <c r="D81" s="199"/>
      <c r="E81" s="199"/>
      <c r="F81" s="199"/>
      <c r="G81" s="199"/>
      <c r="H81" s="198"/>
      <c r="I81" s="278"/>
    </row>
    <row r="82" spans="1:20" ht="19.149999999999999" customHeight="1" x14ac:dyDescent="0.25">
      <c r="A82" s="239"/>
      <c r="B82" s="242"/>
      <c r="C82" s="199"/>
      <c r="D82" s="199"/>
      <c r="E82" s="199"/>
      <c r="F82" s="199"/>
      <c r="G82" s="199"/>
      <c r="H82" s="198"/>
      <c r="I82" s="278"/>
      <c r="M82" s="366"/>
      <c r="S82" s="367"/>
      <c r="T82" s="367"/>
    </row>
    <row r="83" spans="1:20" ht="19.149999999999999" customHeight="1" x14ac:dyDescent="0.25">
      <c r="A83" s="239"/>
      <c r="B83" s="242"/>
      <c r="C83" s="199"/>
      <c r="D83" s="199"/>
      <c r="E83" s="199"/>
      <c r="F83" s="199"/>
      <c r="G83" s="199"/>
      <c r="H83" s="198"/>
      <c r="I83" s="278"/>
    </row>
    <row r="84" spans="1:20" ht="19.149999999999999" customHeight="1" x14ac:dyDescent="0.25">
      <c r="A84" s="239"/>
      <c r="B84" s="242"/>
      <c r="C84" s="199"/>
      <c r="D84" s="199"/>
      <c r="E84" s="199"/>
      <c r="F84" s="199"/>
      <c r="G84" s="199"/>
      <c r="H84" s="198"/>
      <c r="I84" s="278"/>
    </row>
    <row r="85" spans="1:20" ht="19.149999999999999" customHeight="1" x14ac:dyDescent="0.25">
      <c r="A85" s="239"/>
      <c r="B85" s="200" t="s">
        <v>235</v>
      </c>
      <c r="C85" s="199"/>
      <c r="D85" s="199"/>
      <c r="E85" s="199"/>
      <c r="F85" s="199"/>
      <c r="G85" s="198" t="s">
        <v>656</v>
      </c>
      <c r="H85" s="174">
        <f>H64</f>
        <v>7579.4128750556474</v>
      </c>
      <c r="I85" s="278" t="s">
        <v>40</v>
      </c>
    </row>
    <row r="86" spans="1:20" ht="19.149999999999999" customHeight="1" x14ac:dyDescent="0.25">
      <c r="A86" s="239"/>
      <c r="B86" s="200" t="s">
        <v>383</v>
      </c>
      <c r="C86" s="199"/>
      <c r="D86" s="199"/>
      <c r="E86" s="199"/>
      <c r="F86" s="199"/>
      <c r="G86" s="198" t="s">
        <v>108</v>
      </c>
      <c r="H86" s="177">
        <f>H66</f>
        <v>0.75230000000000019</v>
      </c>
      <c r="I86" s="278" t="s">
        <v>127</v>
      </c>
    </row>
    <row r="87" spans="1:20" ht="19.149999999999999" customHeight="1" x14ac:dyDescent="0.25">
      <c r="A87" s="239"/>
      <c r="B87" s="200" t="s">
        <v>103</v>
      </c>
      <c r="C87" s="199"/>
      <c r="D87" s="199"/>
      <c r="E87" s="199"/>
      <c r="F87" s="199"/>
      <c r="G87" s="198" t="s">
        <v>646</v>
      </c>
      <c r="H87" s="177">
        <f>H67</f>
        <v>1.0880495369754974</v>
      </c>
      <c r="I87" s="278" t="s">
        <v>2</v>
      </c>
    </row>
    <row r="88" spans="1:20" ht="19.149999999999999" customHeight="1" x14ac:dyDescent="0.25">
      <c r="A88" s="239"/>
      <c r="B88" s="200"/>
      <c r="C88" s="199"/>
      <c r="D88" s="199"/>
      <c r="E88" s="199"/>
      <c r="F88" s="199"/>
      <c r="G88" s="198" t="s">
        <v>647</v>
      </c>
      <c r="H88" s="177">
        <f>H68</f>
        <v>1.0119504630245026</v>
      </c>
      <c r="I88" s="278" t="s">
        <v>2</v>
      </c>
    </row>
    <row r="89" spans="1:20" ht="19.149999999999999" customHeight="1" x14ac:dyDescent="0.25">
      <c r="A89" s="239"/>
      <c r="B89" s="200" t="s">
        <v>105</v>
      </c>
      <c r="C89" s="199"/>
      <c r="D89" s="199"/>
      <c r="E89" s="199"/>
      <c r="F89" s="199"/>
      <c r="G89" s="198" t="s">
        <v>649</v>
      </c>
      <c r="H89" s="177">
        <f>H69</f>
        <v>0.38048637703086957</v>
      </c>
      <c r="I89" s="278" t="s">
        <v>129</v>
      </c>
    </row>
    <row r="90" spans="1:20" ht="19.149999999999999" customHeight="1" x14ac:dyDescent="0.25">
      <c r="A90" s="239"/>
      <c r="B90" s="200" t="s">
        <v>106</v>
      </c>
      <c r="C90" s="199"/>
      <c r="D90" s="199"/>
      <c r="E90" s="199"/>
      <c r="F90" s="199"/>
      <c r="G90" s="198" t="s">
        <v>650</v>
      </c>
      <c r="H90" s="177">
        <f>H70</f>
        <v>0.40909910265429483</v>
      </c>
      <c r="I90" s="278" t="s">
        <v>129</v>
      </c>
    </row>
    <row r="91" spans="1:20" ht="19.149999999999999" customHeight="1" x14ac:dyDescent="0.25">
      <c r="A91" s="239"/>
      <c r="B91" s="280" t="s">
        <v>258</v>
      </c>
      <c r="C91" s="281"/>
      <c r="D91" s="281"/>
      <c r="E91" s="281"/>
      <c r="F91" s="281"/>
      <c r="G91" s="282" t="s">
        <v>651</v>
      </c>
      <c r="H91" s="177">
        <f>H50</f>
        <v>-3.2802798706189913E-2</v>
      </c>
      <c r="I91" s="283" t="s">
        <v>2</v>
      </c>
    </row>
    <row r="92" spans="1:20" ht="19.149999999999999" customHeight="1" x14ac:dyDescent="0.25">
      <c r="A92" s="239"/>
      <c r="B92" s="200" t="s">
        <v>141</v>
      </c>
      <c r="C92" s="199"/>
      <c r="D92" s="199"/>
      <c r="E92" s="199"/>
      <c r="F92" s="199"/>
      <c r="G92" s="198" t="s">
        <v>983</v>
      </c>
      <c r="H92" s="174">
        <f>(-H85/H86+H85*H91/H89)/1000</f>
        <v>-10.728429667678991</v>
      </c>
      <c r="I92" s="278" t="s">
        <v>28</v>
      </c>
    </row>
    <row r="93" spans="1:20" ht="19.149999999999999" customHeight="1" x14ac:dyDescent="0.25">
      <c r="A93" s="239"/>
      <c r="B93" s="200" t="s">
        <v>142</v>
      </c>
      <c r="C93" s="199"/>
      <c r="D93" s="199"/>
      <c r="E93" s="199"/>
      <c r="F93" s="199"/>
      <c r="G93" s="198" t="s">
        <v>984</v>
      </c>
      <c r="H93" s="174">
        <f>(-H85/H86-H85*H91/H90)/1000</f>
        <v>-9.467247044146049</v>
      </c>
      <c r="I93" s="278" t="s">
        <v>28</v>
      </c>
      <c r="M93" s="366"/>
      <c r="S93" s="367"/>
      <c r="T93" s="367"/>
    </row>
    <row r="94" spans="1:20" ht="19.149999999999999" customHeight="1" x14ac:dyDescent="0.25">
      <c r="A94" s="239"/>
      <c r="B94" s="200"/>
      <c r="C94" s="199"/>
      <c r="D94" s="199"/>
      <c r="E94" s="199"/>
      <c r="F94" s="199"/>
      <c r="G94" s="199"/>
      <c r="H94" s="198"/>
      <c r="I94" s="278"/>
      <c r="M94" s="366"/>
      <c r="S94" s="367"/>
      <c r="T94" s="367"/>
    </row>
    <row r="95" spans="1:20" ht="19.149999999999999" customHeight="1" x14ac:dyDescent="0.25">
      <c r="A95" s="239" t="s">
        <v>671</v>
      </c>
      <c r="B95" s="242" t="s">
        <v>672</v>
      </c>
      <c r="C95" s="199"/>
      <c r="D95" s="199"/>
      <c r="E95" s="199"/>
      <c r="F95" s="199"/>
      <c r="G95" s="199"/>
      <c r="H95" s="198"/>
      <c r="I95" s="278"/>
      <c r="M95" s="366"/>
      <c r="S95" s="367"/>
      <c r="T95" s="367"/>
    </row>
    <row r="96" spans="1:20" ht="19.149999999999999" customHeight="1" x14ac:dyDescent="0.25">
      <c r="A96" s="239"/>
      <c r="B96" s="242"/>
      <c r="C96" s="199"/>
      <c r="D96" s="199"/>
      <c r="E96" s="199"/>
      <c r="F96" s="199"/>
      <c r="G96" s="199"/>
      <c r="H96" s="198"/>
      <c r="I96" s="278"/>
      <c r="M96" s="366"/>
      <c r="S96" s="367"/>
      <c r="T96" s="367"/>
    </row>
    <row r="97" spans="1:20" ht="19.149999999999999" customHeight="1" x14ac:dyDescent="0.25">
      <c r="A97" s="239"/>
      <c r="B97" s="242"/>
      <c r="C97" s="199"/>
      <c r="D97" s="199"/>
      <c r="E97" s="199"/>
      <c r="F97" s="199"/>
      <c r="G97" s="199"/>
      <c r="H97" s="198"/>
      <c r="I97" s="278"/>
      <c r="M97" s="366"/>
      <c r="S97" s="367"/>
      <c r="T97" s="367"/>
    </row>
    <row r="98" spans="1:20" ht="19.149999999999999" customHeight="1" x14ac:dyDescent="0.25">
      <c r="A98" s="239"/>
      <c r="B98" s="242"/>
      <c r="C98" s="199"/>
      <c r="D98" s="199"/>
      <c r="E98" s="199"/>
      <c r="F98" s="199"/>
      <c r="G98" s="199"/>
      <c r="H98" s="198"/>
      <c r="I98" s="278"/>
      <c r="M98" s="366"/>
      <c r="S98" s="367"/>
      <c r="T98" s="367"/>
    </row>
    <row r="99" spans="1:20" ht="19.149999999999999" customHeight="1" x14ac:dyDescent="0.25">
      <c r="A99" s="239"/>
      <c r="B99" s="242"/>
      <c r="C99" s="199"/>
      <c r="D99" s="199"/>
      <c r="E99" s="199"/>
      <c r="F99" s="199"/>
      <c r="G99" s="199"/>
      <c r="H99" s="198"/>
      <c r="I99" s="278"/>
      <c r="M99" s="366"/>
      <c r="S99" s="367"/>
      <c r="T99" s="367"/>
    </row>
    <row r="100" spans="1:20" ht="19.149999999999999" customHeight="1" x14ac:dyDescent="0.25">
      <c r="A100" s="239"/>
      <c r="B100" s="242"/>
      <c r="C100" s="199"/>
      <c r="D100" s="199"/>
      <c r="E100" s="199"/>
      <c r="F100" s="199"/>
      <c r="G100" s="199"/>
      <c r="H100" s="198"/>
      <c r="I100" s="278"/>
      <c r="M100" s="366"/>
      <c r="S100" s="367"/>
      <c r="T100" s="367"/>
    </row>
    <row r="101" spans="1:20" ht="19.149999999999999" customHeight="1" x14ac:dyDescent="0.25">
      <c r="A101" s="239"/>
      <c r="B101" s="242"/>
      <c r="C101" s="199"/>
      <c r="D101" s="199"/>
      <c r="E101" s="199"/>
      <c r="F101" s="199"/>
      <c r="G101" s="199"/>
      <c r="H101" s="198"/>
      <c r="I101" s="278"/>
      <c r="M101" s="366"/>
      <c r="S101" s="367"/>
      <c r="T101" s="367"/>
    </row>
    <row r="102" spans="1:20" ht="19.149999999999999" customHeight="1" x14ac:dyDescent="0.25">
      <c r="A102" s="239"/>
      <c r="B102" s="242"/>
      <c r="C102" s="199"/>
      <c r="D102" s="199"/>
      <c r="E102" s="199"/>
      <c r="F102" s="199"/>
      <c r="G102" s="199"/>
      <c r="H102" s="198"/>
      <c r="I102" s="278"/>
      <c r="M102" s="164"/>
    </row>
    <row r="103" spans="1:20" ht="19.149999999999999" customHeight="1" x14ac:dyDescent="0.25">
      <c r="A103" s="239"/>
      <c r="B103" s="242"/>
      <c r="C103" s="199"/>
      <c r="D103" s="199"/>
      <c r="E103" s="199"/>
      <c r="F103" s="199"/>
      <c r="G103" s="199"/>
      <c r="H103" s="198"/>
      <c r="I103" s="278"/>
      <c r="L103" s="165"/>
      <c r="M103" s="164"/>
    </row>
    <row r="104" spans="1:20" ht="19.149999999999999" customHeight="1" x14ac:dyDescent="0.25">
      <c r="A104" s="239"/>
      <c r="B104" s="242"/>
      <c r="C104" s="199"/>
      <c r="D104" s="199"/>
      <c r="E104" s="199"/>
      <c r="F104" s="199"/>
      <c r="G104" s="199"/>
      <c r="H104" s="198"/>
      <c r="I104" s="278"/>
      <c r="L104" s="165"/>
    </row>
    <row r="105" spans="1:20" ht="19.149999999999999" customHeight="1" x14ac:dyDescent="0.25">
      <c r="A105" s="239"/>
      <c r="B105" s="200" t="s">
        <v>235</v>
      </c>
      <c r="C105" s="199"/>
      <c r="D105" s="199"/>
      <c r="E105" s="199"/>
      <c r="F105" s="199"/>
      <c r="G105" s="198" t="s">
        <v>656</v>
      </c>
      <c r="H105" s="174">
        <f>H64</f>
        <v>7579.4128750556474</v>
      </c>
      <c r="I105" s="278" t="s">
        <v>40</v>
      </c>
    </row>
    <row r="106" spans="1:20" ht="19.149999999999999" customHeight="1" x14ac:dyDescent="0.25">
      <c r="A106" s="239"/>
      <c r="B106" s="280" t="s">
        <v>139</v>
      </c>
      <c r="C106" s="281"/>
      <c r="D106" s="281"/>
      <c r="E106" s="281"/>
      <c r="F106" s="281"/>
      <c r="G106" s="251" t="s">
        <v>146</v>
      </c>
      <c r="H106" s="148">
        <f>H65</f>
        <v>3611.0400000000013</v>
      </c>
      <c r="I106" s="256" t="s">
        <v>42</v>
      </c>
    </row>
    <row r="107" spans="1:20" ht="19.149999999999999" customHeight="1" x14ac:dyDescent="0.25">
      <c r="A107" s="239"/>
      <c r="B107" s="280" t="s">
        <v>751</v>
      </c>
      <c r="C107" s="281"/>
      <c r="D107" s="281"/>
      <c r="E107" s="281"/>
      <c r="F107" s="281"/>
      <c r="G107" s="251" t="s">
        <v>928</v>
      </c>
      <c r="H107" s="148">
        <f>'Input (2) &amp; Process (1)'!H15+'Input (2) &amp; Process (1)'!H29</f>
        <v>2806.0800000000008</v>
      </c>
      <c r="I107" s="256" t="s">
        <v>42</v>
      </c>
    </row>
    <row r="108" spans="1:20" ht="19.149999999999999" customHeight="1" x14ac:dyDescent="0.25">
      <c r="A108" s="239"/>
      <c r="B108" s="200" t="s">
        <v>383</v>
      </c>
      <c r="C108" s="199"/>
      <c r="D108" s="199"/>
      <c r="E108" s="199"/>
      <c r="F108" s="199"/>
      <c r="G108" s="198" t="s">
        <v>108</v>
      </c>
      <c r="H108" s="177">
        <f t="shared" ref="H108:H113" si="1">H66</f>
        <v>0.75230000000000019</v>
      </c>
      <c r="I108" s="278" t="s">
        <v>127</v>
      </c>
    </row>
    <row r="109" spans="1:20" s="165" customFormat="1" ht="19.149999999999999" customHeight="1" x14ac:dyDescent="0.25">
      <c r="A109" s="239"/>
      <c r="B109" s="200" t="s">
        <v>103</v>
      </c>
      <c r="C109" s="199"/>
      <c r="D109" s="199"/>
      <c r="E109" s="199"/>
      <c r="F109" s="199"/>
      <c r="G109" s="198" t="s">
        <v>646</v>
      </c>
      <c r="H109" s="177">
        <f t="shared" si="1"/>
        <v>1.0880495369754974</v>
      </c>
      <c r="I109" s="278" t="s">
        <v>2</v>
      </c>
      <c r="J109" s="176"/>
      <c r="K109" s="168"/>
      <c r="L109" s="168"/>
      <c r="M109" s="164"/>
      <c r="S109" s="166"/>
      <c r="T109" s="166"/>
    </row>
    <row r="110" spans="1:20" ht="19.149999999999999" customHeight="1" x14ac:dyDescent="0.25">
      <c r="A110" s="239"/>
      <c r="B110" s="200"/>
      <c r="C110" s="199"/>
      <c r="D110" s="199"/>
      <c r="E110" s="199"/>
      <c r="F110" s="199"/>
      <c r="G110" s="198" t="s">
        <v>647</v>
      </c>
      <c r="H110" s="177">
        <f t="shared" si="1"/>
        <v>1.0119504630245026</v>
      </c>
      <c r="I110" s="278" t="s">
        <v>2</v>
      </c>
      <c r="J110" s="165"/>
      <c r="K110" s="165"/>
      <c r="L110" s="165"/>
    </row>
    <row r="111" spans="1:20" ht="19.149999999999999" customHeight="1" x14ac:dyDescent="0.25">
      <c r="A111" s="239"/>
      <c r="B111" s="200" t="s">
        <v>105</v>
      </c>
      <c r="C111" s="199"/>
      <c r="D111" s="199"/>
      <c r="E111" s="199"/>
      <c r="F111" s="199"/>
      <c r="G111" s="198" t="s">
        <v>649</v>
      </c>
      <c r="H111" s="177">
        <f t="shared" si="1"/>
        <v>0.38048637703086957</v>
      </c>
      <c r="I111" s="278" t="s">
        <v>129</v>
      </c>
    </row>
    <row r="112" spans="1:20" ht="19.149999999999999" customHeight="1" x14ac:dyDescent="0.25">
      <c r="A112" s="239"/>
      <c r="B112" s="200" t="s">
        <v>106</v>
      </c>
      <c r="C112" s="199"/>
      <c r="D112" s="199"/>
      <c r="E112" s="199"/>
      <c r="F112" s="199"/>
      <c r="G112" s="198" t="s">
        <v>650</v>
      </c>
      <c r="H112" s="177">
        <f t="shared" si="1"/>
        <v>0.40909910265429483</v>
      </c>
      <c r="I112" s="278" t="s">
        <v>129</v>
      </c>
    </row>
    <row r="113" spans="1:20" ht="19.149999999999999" customHeight="1" x14ac:dyDescent="0.25">
      <c r="A113" s="240"/>
      <c r="B113" s="280" t="s">
        <v>258</v>
      </c>
      <c r="C113" s="281"/>
      <c r="D113" s="281"/>
      <c r="E113" s="281"/>
      <c r="F113" s="281"/>
      <c r="G113" s="282" t="s">
        <v>651</v>
      </c>
      <c r="H113" s="177">
        <f t="shared" si="1"/>
        <v>0.81195046302450269</v>
      </c>
      <c r="I113" s="283" t="s">
        <v>2</v>
      </c>
    </row>
    <row r="114" spans="1:20" ht="19.149999999999999" customHeight="1" x14ac:dyDescent="0.25">
      <c r="A114" s="239"/>
      <c r="B114" s="200" t="s">
        <v>141</v>
      </c>
      <c r="C114" s="199"/>
      <c r="D114" s="199"/>
      <c r="E114" s="199"/>
      <c r="F114" s="199"/>
      <c r="G114" s="198" t="s">
        <v>699</v>
      </c>
      <c r="H114" s="174">
        <f>(-H105/H108+H105*H113/H111-(H106+H107)/H111)/1000</f>
        <v>-10.766239830306631</v>
      </c>
      <c r="I114" s="278" t="s">
        <v>28</v>
      </c>
    </row>
    <row r="115" spans="1:20" ht="19.149999999999999" customHeight="1" x14ac:dyDescent="0.25">
      <c r="A115" s="239"/>
      <c r="B115" s="200" t="s">
        <v>142</v>
      </c>
      <c r="C115" s="199"/>
      <c r="D115" s="199"/>
      <c r="E115" s="199"/>
      <c r="F115" s="199"/>
      <c r="G115" s="198" t="s">
        <v>700</v>
      </c>
      <c r="H115" s="174">
        <f>(-H105/H108-H105*H113/H112+(H106+H107)/H112)/1000</f>
        <v>-9.4320813551973366</v>
      </c>
      <c r="I115" s="278" t="s">
        <v>28</v>
      </c>
    </row>
    <row r="116" spans="1:20" ht="19.149999999999999" customHeight="1" x14ac:dyDescent="0.25">
      <c r="A116" s="239"/>
      <c r="B116" s="200"/>
      <c r="C116" s="199"/>
      <c r="D116" s="199"/>
      <c r="E116" s="199"/>
      <c r="F116" s="199"/>
      <c r="G116" s="199"/>
      <c r="H116" s="198"/>
      <c r="I116" s="278"/>
    </row>
    <row r="117" spans="1:20" ht="19.149999999999999" customHeight="1" x14ac:dyDescent="0.25">
      <c r="A117" s="239" t="s">
        <v>673</v>
      </c>
      <c r="B117" s="242" t="s">
        <v>674</v>
      </c>
      <c r="C117" s="199"/>
      <c r="D117" s="199"/>
      <c r="E117" s="199"/>
      <c r="F117" s="199"/>
      <c r="G117" s="199"/>
      <c r="H117" s="198"/>
      <c r="I117" s="278"/>
    </row>
    <row r="118" spans="1:20" ht="19.149999999999999" customHeight="1" x14ac:dyDescent="0.25">
      <c r="A118" s="239"/>
      <c r="B118" s="200"/>
      <c r="C118" s="199"/>
      <c r="D118" s="199"/>
      <c r="E118" s="199"/>
      <c r="F118" s="199"/>
      <c r="G118" s="199"/>
      <c r="H118" s="198"/>
      <c r="I118" s="278"/>
    </row>
    <row r="119" spans="1:20" ht="19.149999999999999" customHeight="1" x14ac:dyDescent="0.25">
      <c r="A119" s="239"/>
      <c r="B119" s="200"/>
      <c r="C119" s="199"/>
      <c r="D119" s="199"/>
      <c r="E119" s="199"/>
      <c r="F119" s="199"/>
      <c r="G119" s="199"/>
      <c r="H119" s="198"/>
      <c r="I119" s="278"/>
    </row>
    <row r="120" spans="1:20" ht="19.149999999999999" customHeight="1" x14ac:dyDescent="0.25">
      <c r="A120" s="239"/>
      <c r="B120" s="200"/>
      <c r="C120" s="199"/>
      <c r="D120" s="199"/>
      <c r="E120" s="199"/>
      <c r="F120" s="199"/>
      <c r="G120" s="199"/>
      <c r="H120" s="198"/>
      <c r="I120" s="278"/>
    </row>
    <row r="121" spans="1:20" ht="19.149999999999999" customHeight="1" x14ac:dyDescent="0.25">
      <c r="A121" s="239"/>
      <c r="B121" s="200"/>
      <c r="C121" s="199"/>
      <c r="D121" s="199"/>
      <c r="E121" s="199"/>
      <c r="F121" s="199"/>
      <c r="G121" s="199"/>
      <c r="H121" s="198"/>
      <c r="I121" s="278"/>
    </row>
    <row r="122" spans="1:20" ht="19.149999999999999" customHeight="1" x14ac:dyDescent="0.25">
      <c r="A122" s="239"/>
      <c r="B122" s="200"/>
      <c r="C122" s="199"/>
      <c r="D122" s="199"/>
      <c r="E122" s="199"/>
      <c r="F122" s="199"/>
      <c r="G122" s="199"/>
      <c r="H122" s="198"/>
      <c r="I122" s="278"/>
      <c r="M122" s="366"/>
      <c r="S122" s="367"/>
      <c r="T122" s="367"/>
    </row>
    <row r="123" spans="1:20" ht="19.149999999999999" customHeight="1" x14ac:dyDescent="0.25">
      <c r="A123" s="239"/>
      <c r="B123" s="200"/>
      <c r="C123" s="199"/>
      <c r="D123" s="199"/>
      <c r="E123" s="199"/>
      <c r="F123" s="199"/>
      <c r="G123" s="199"/>
      <c r="H123" s="198"/>
      <c r="I123" s="278"/>
      <c r="M123" s="366"/>
      <c r="S123" s="367"/>
      <c r="T123" s="367"/>
    </row>
    <row r="124" spans="1:20" ht="19.149999999999999" customHeight="1" x14ac:dyDescent="0.25">
      <c r="A124" s="239"/>
      <c r="B124" s="200"/>
      <c r="C124" s="199"/>
      <c r="D124" s="199"/>
      <c r="E124" s="199"/>
      <c r="F124" s="199"/>
      <c r="G124" s="199"/>
      <c r="H124" s="198"/>
      <c r="I124" s="278"/>
      <c r="M124" s="383"/>
      <c r="S124" s="421"/>
      <c r="T124" s="421"/>
    </row>
    <row r="125" spans="1:20" ht="19.149999999999999" customHeight="1" x14ac:dyDescent="0.25">
      <c r="A125" s="239"/>
      <c r="B125" s="200"/>
      <c r="C125" s="199"/>
      <c r="D125" s="199"/>
      <c r="E125" s="199"/>
      <c r="F125" s="199"/>
      <c r="G125" s="199"/>
      <c r="H125" s="198"/>
      <c r="I125" s="278"/>
      <c r="M125" s="383"/>
      <c r="S125" s="421"/>
      <c r="T125" s="421"/>
    </row>
    <row r="126" spans="1:20" ht="19.149999999999999" customHeight="1" x14ac:dyDescent="0.25">
      <c r="A126" s="239"/>
      <c r="B126" s="200"/>
      <c r="C126" s="199"/>
      <c r="D126" s="199"/>
      <c r="E126" s="199"/>
      <c r="F126" s="199"/>
      <c r="G126" s="199"/>
      <c r="H126" s="198"/>
      <c r="I126" s="278"/>
    </row>
    <row r="127" spans="1:20" ht="19.149999999999999" customHeight="1" x14ac:dyDescent="0.25">
      <c r="A127" s="239"/>
      <c r="B127" s="200" t="s">
        <v>235</v>
      </c>
      <c r="C127" s="199"/>
      <c r="D127" s="199"/>
      <c r="E127" s="199"/>
      <c r="F127" s="199"/>
      <c r="G127" s="198" t="s">
        <v>656</v>
      </c>
      <c r="H127" s="174">
        <f>H105</f>
        <v>7579.4128750556474</v>
      </c>
      <c r="I127" s="278" t="s">
        <v>40</v>
      </c>
    </row>
    <row r="128" spans="1:20" ht="19.149999999999999" customHeight="1" x14ac:dyDescent="0.25">
      <c r="A128" s="239"/>
      <c r="B128" s="280" t="s">
        <v>139</v>
      </c>
      <c r="C128" s="281"/>
      <c r="D128" s="281"/>
      <c r="E128" s="281"/>
      <c r="F128" s="281"/>
      <c r="G128" s="251" t="s">
        <v>146</v>
      </c>
      <c r="H128" s="148">
        <f>H106</f>
        <v>3611.0400000000013</v>
      </c>
      <c r="I128" s="256" t="s">
        <v>42</v>
      </c>
    </row>
    <row r="129" spans="1:20" ht="19.149999999999999" customHeight="1" x14ac:dyDescent="0.25">
      <c r="A129" s="239"/>
      <c r="B129" s="280" t="s">
        <v>385</v>
      </c>
      <c r="C129" s="281"/>
      <c r="D129" s="281"/>
      <c r="E129" s="281"/>
      <c r="F129" s="281"/>
      <c r="G129" s="251" t="s">
        <v>928</v>
      </c>
      <c r="H129" s="148">
        <f>H107</f>
        <v>2806.0800000000008</v>
      </c>
      <c r="I129" s="256" t="s">
        <v>42</v>
      </c>
    </row>
    <row r="130" spans="1:20" ht="19.149999999999999" customHeight="1" x14ac:dyDescent="0.25">
      <c r="A130" s="239"/>
      <c r="B130" s="280" t="s">
        <v>447</v>
      </c>
      <c r="C130" s="281"/>
      <c r="D130" s="281"/>
      <c r="E130" s="281"/>
      <c r="F130" s="281"/>
      <c r="G130" s="432" t="s">
        <v>449</v>
      </c>
      <c r="H130" s="148">
        <f>'Input (2) &amp; Process (1)'!H169</f>
        <v>995.30000000000007</v>
      </c>
      <c r="I130" s="256" t="s">
        <v>42</v>
      </c>
      <c r="M130" s="383"/>
      <c r="S130" s="421"/>
      <c r="T130" s="421"/>
    </row>
    <row r="131" spans="1:20" ht="19.149999999999999" customHeight="1" x14ac:dyDescent="0.25">
      <c r="A131" s="239"/>
      <c r="B131" s="280" t="s">
        <v>1135</v>
      </c>
      <c r="C131" s="281"/>
      <c r="D131" s="281"/>
      <c r="E131" s="281"/>
      <c r="F131" s="281"/>
      <c r="G131" s="432" t="s">
        <v>1136</v>
      </c>
      <c r="H131" s="148">
        <f>'Input (2) &amp; Process (1)'!H170</f>
        <v>4182.8500000000004</v>
      </c>
      <c r="I131" s="256" t="s">
        <v>42</v>
      </c>
      <c r="M131" s="383"/>
      <c r="S131" s="421"/>
      <c r="T131" s="421"/>
    </row>
    <row r="132" spans="1:20" ht="19.149999999999999" customHeight="1" x14ac:dyDescent="0.25">
      <c r="A132" s="239"/>
      <c r="B132" s="42" t="s">
        <v>78</v>
      </c>
      <c r="C132" s="281"/>
      <c r="D132" s="281"/>
      <c r="E132" s="281"/>
      <c r="F132" s="281"/>
      <c r="G132" s="432" t="s">
        <v>132</v>
      </c>
      <c r="H132" s="148">
        <f>'Process (2)'!H36</f>
        <v>0.70798904311236122</v>
      </c>
      <c r="I132" s="256"/>
      <c r="M132" s="383"/>
      <c r="S132" s="421"/>
      <c r="T132" s="421"/>
    </row>
    <row r="133" spans="1:20" ht="19.149999999999999" customHeight="1" x14ac:dyDescent="0.25">
      <c r="A133" s="239"/>
      <c r="B133" s="200" t="s">
        <v>383</v>
      </c>
      <c r="C133" s="199"/>
      <c r="D133" s="199"/>
      <c r="E133" s="199"/>
      <c r="F133" s="199"/>
      <c r="G133" s="198" t="s">
        <v>108</v>
      </c>
      <c r="H133" s="177">
        <f>H108</f>
        <v>0.75230000000000019</v>
      </c>
      <c r="I133" s="278" t="s">
        <v>127</v>
      </c>
      <c r="M133" s="383"/>
      <c r="S133" s="421"/>
      <c r="T133" s="421"/>
    </row>
    <row r="134" spans="1:20" ht="19.149999999999999" customHeight="1" x14ac:dyDescent="0.25">
      <c r="A134" s="239"/>
      <c r="B134" s="200" t="s">
        <v>386</v>
      </c>
      <c r="C134" s="199"/>
      <c r="D134" s="199"/>
      <c r="E134" s="199"/>
      <c r="F134" s="199"/>
      <c r="G134" s="198" t="s">
        <v>120</v>
      </c>
      <c r="H134" s="170">
        <f>'Process (2)'!H101</f>
        <v>1.0797449324394672</v>
      </c>
      <c r="I134" s="278" t="s">
        <v>127</v>
      </c>
    </row>
    <row r="135" spans="1:20" ht="19.149999999999999" customHeight="1" x14ac:dyDescent="0.25">
      <c r="A135" s="239"/>
      <c r="B135" s="200" t="s">
        <v>387</v>
      </c>
      <c r="C135" s="199"/>
      <c r="D135" s="199"/>
      <c r="E135" s="199"/>
      <c r="F135" s="199"/>
      <c r="G135" s="198" t="s">
        <v>985</v>
      </c>
      <c r="H135" s="170">
        <f>'Process (2)'!H103</f>
        <v>0.97017846692262921</v>
      </c>
      <c r="I135" s="278" t="s">
        <v>2</v>
      </c>
    </row>
    <row r="136" spans="1:20" ht="19.149999999999999" customHeight="1" x14ac:dyDescent="0.25">
      <c r="A136" s="239"/>
      <c r="B136" s="200"/>
      <c r="C136" s="199"/>
      <c r="D136" s="199"/>
      <c r="E136" s="199"/>
      <c r="F136" s="199"/>
      <c r="G136" s="198" t="s">
        <v>437</v>
      </c>
      <c r="H136" s="170">
        <f>'Process (2)'!H102</f>
        <v>1.3798215330773709</v>
      </c>
      <c r="I136" s="278" t="s">
        <v>2</v>
      </c>
    </row>
    <row r="137" spans="1:20" ht="19.149999999999999" customHeight="1" x14ac:dyDescent="0.25">
      <c r="A137" s="239"/>
      <c r="B137" s="200" t="s">
        <v>105</v>
      </c>
      <c r="C137" s="199"/>
      <c r="D137" s="199"/>
      <c r="E137" s="199"/>
      <c r="F137" s="199"/>
      <c r="G137" s="198" t="s">
        <v>659</v>
      </c>
      <c r="H137" s="170">
        <f>'Process (2)'!H105</f>
        <v>0.77450101515990732</v>
      </c>
      <c r="I137" s="278" t="s">
        <v>129</v>
      </c>
    </row>
    <row r="138" spans="1:20" ht="19.149999999999999" customHeight="1" x14ac:dyDescent="0.25">
      <c r="A138" s="239"/>
      <c r="B138" s="200"/>
      <c r="C138" s="199"/>
      <c r="D138" s="199"/>
      <c r="E138" s="199"/>
      <c r="F138" s="199"/>
      <c r="G138" s="198" t="s">
        <v>660</v>
      </c>
      <c r="H138" s="170">
        <f>'Process (2)'!H106</f>
        <v>1.0433583368976016</v>
      </c>
      <c r="I138" s="278" t="s">
        <v>129</v>
      </c>
    </row>
    <row r="139" spans="1:20" ht="19.149999999999999" customHeight="1" x14ac:dyDescent="0.25">
      <c r="A139" s="239"/>
      <c r="B139" s="200" t="s">
        <v>106</v>
      </c>
      <c r="C139" s="199"/>
      <c r="D139" s="199"/>
      <c r="E139" s="199"/>
      <c r="F139" s="199"/>
      <c r="G139" s="198" t="s">
        <v>986</v>
      </c>
      <c r="H139" s="170">
        <f>'Process (2)'!H107</f>
        <v>0.54456622795415188</v>
      </c>
      <c r="I139" s="278" t="s">
        <v>129</v>
      </c>
    </row>
    <row r="140" spans="1:20" ht="19.149999999999999" customHeight="1" x14ac:dyDescent="0.25">
      <c r="A140" s="239"/>
      <c r="B140" s="280" t="s">
        <v>258</v>
      </c>
      <c r="C140" s="281"/>
      <c r="D140" s="281"/>
      <c r="E140" s="281"/>
      <c r="F140" s="281"/>
      <c r="G140" s="282" t="s">
        <v>204</v>
      </c>
      <c r="H140" s="170">
        <f>H113</f>
        <v>0.81195046302450269</v>
      </c>
      <c r="I140" s="283" t="s">
        <v>2</v>
      </c>
    </row>
    <row r="141" spans="1:20" ht="19.149999999999999" customHeight="1" x14ac:dyDescent="0.25">
      <c r="A141" s="239"/>
      <c r="B141" s="200" t="s">
        <v>141</v>
      </c>
      <c r="C141" s="199"/>
      <c r="D141" s="199"/>
      <c r="E141" s="199"/>
      <c r="F141" s="199"/>
      <c r="G141" s="198" t="s">
        <v>1138</v>
      </c>
      <c r="H141" s="174">
        <f>(-H130/H137-0.8*H131/H137)*H132/1000</f>
        <v>-3.9687373026375385</v>
      </c>
      <c r="I141" s="278" t="s">
        <v>28</v>
      </c>
    </row>
    <row r="142" spans="1:20" ht="19.149999999999999" customHeight="1" x14ac:dyDescent="0.25">
      <c r="A142" s="239"/>
      <c r="B142" s="200"/>
      <c r="C142" s="199"/>
      <c r="D142" s="199"/>
      <c r="E142" s="199"/>
      <c r="F142" s="199"/>
      <c r="G142" s="198" t="s">
        <v>1139</v>
      </c>
      <c r="H142" s="174">
        <f>H114-(H130/H138+0.8*H131/H138)/1000</f>
        <v>-14.927398893749373</v>
      </c>
      <c r="I142" s="278" t="s">
        <v>28</v>
      </c>
    </row>
    <row r="143" spans="1:20" ht="19.149999999999999" customHeight="1" x14ac:dyDescent="0.25">
      <c r="A143" s="239"/>
      <c r="B143" s="200"/>
      <c r="C143" s="199"/>
      <c r="D143" s="199"/>
      <c r="E143" s="199"/>
      <c r="F143" s="199"/>
      <c r="G143" s="198" t="s">
        <v>1137</v>
      </c>
      <c r="H143" s="174">
        <f>(-H130/H138-0.8*H131/H138)/1000*H132</f>
        <v>-2.9460550235651564</v>
      </c>
      <c r="I143" s="278" t="s">
        <v>28</v>
      </c>
      <c r="M143" s="383"/>
      <c r="S143" s="421"/>
      <c r="T143" s="421"/>
    </row>
    <row r="144" spans="1:20" ht="19.149999999999999" customHeight="1" x14ac:dyDescent="0.25">
      <c r="A144" s="239"/>
      <c r="B144" s="200" t="s">
        <v>142</v>
      </c>
      <c r="C144" s="199"/>
      <c r="D144" s="199"/>
      <c r="E144" s="199"/>
      <c r="F144" s="199"/>
      <c r="G144" s="199"/>
      <c r="H144" s="198"/>
      <c r="I144" s="278"/>
      <c r="M144" s="366"/>
      <c r="S144" s="367"/>
      <c r="T144" s="367"/>
    </row>
    <row r="145" spans="1:27" ht="19.149999999999999" customHeight="1" x14ac:dyDescent="0.25">
      <c r="A145" s="239"/>
      <c r="B145" s="200"/>
      <c r="C145" s="199"/>
      <c r="D145" s="199"/>
      <c r="E145" s="199"/>
      <c r="F145" s="199"/>
      <c r="G145" s="198" t="s">
        <v>1140</v>
      </c>
      <c r="H145" s="174">
        <f>H115+H130/H139/1000+0.8*H131/H139/1000</f>
        <v>-1.4595340741978857</v>
      </c>
      <c r="I145" s="278" t="s">
        <v>28</v>
      </c>
      <c r="M145" s="366"/>
      <c r="S145" s="367"/>
      <c r="T145" s="367"/>
    </row>
    <row r="146" spans="1:27" s="1" customFormat="1" ht="19.149999999999999" customHeight="1" x14ac:dyDescent="0.25">
      <c r="A146" s="63"/>
      <c r="B146" s="199"/>
      <c r="C146" s="199"/>
      <c r="D146" s="199"/>
      <c r="E146" s="199"/>
      <c r="F146" s="199"/>
      <c r="G146" s="199"/>
      <c r="H146" s="198"/>
      <c r="I146" s="278"/>
      <c r="U146" s="115"/>
    </row>
    <row r="147" spans="1:27" s="1" customFormat="1" ht="19.149999999999999" customHeight="1" x14ac:dyDescent="0.25">
      <c r="A147" s="63"/>
      <c r="B147" s="433"/>
      <c r="C147" s="433"/>
      <c r="D147" s="433"/>
      <c r="E147" s="433"/>
      <c r="F147" s="433"/>
      <c r="G147" s="433"/>
      <c r="H147" s="434"/>
      <c r="I147" s="435"/>
      <c r="U147" s="125"/>
    </row>
    <row r="148" spans="1:27" s="1" customFormat="1" ht="19.149999999999999" customHeight="1" x14ac:dyDescent="0.25">
      <c r="A148" s="63"/>
      <c r="B148" s="168"/>
      <c r="C148" s="168"/>
      <c r="D148" s="168"/>
      <c r="E148" s="168"/>
      <c r="F148" s="168"/>
      <c r="G148" s="168"/>
      <c r="H148" s="175"/>
      <c r="I148" s="176"/>
      <c r="U148" s="126"/>
    </row>
    <row r="149" spans="1:27" s="1" customFormat="1" ht="19.149999999999999" customHeight="1" x14ac:dyDescent="0.25">
      <c r="A149" s="63"/>
      <c r="B149" s="168"/>
      <c r="C149" s="168"/>
      <c r="D149" s="168"/>
      <c r="E149" s="168"/>
      <c r="F149" s="168"/>
      <c r="G149" s="168"/>
      <c r="H149" s="175"/>
      <c r="I149" s="176"/>
      <c r="U149" s="115"/>
    </row>
    <row r="150" spans="1:27" s="1" customFormat="1" ht="19.149999999999999" customHeight="1" x14ac:dyDescent="0.25">
      <c r="A150" s="63"/>
      <c r="B150" s="168"/>
      <c r="C150" s="168"/>
      <c r="D150" s="168"/>
      <c r="E150" s="168"/>
      <c r="F150" s="168"/>
      <c r="G150" s="168"/>
      <c r="H150" s="175"/>
      <c r="I150" s="176"/>
      <c r="U150" s="31"/>
    </row>
    <row r="151" spans="1:27" s="1" customFormat="1" ht="19.149999999999999" customHeight="1" x14ac:dyDescent="0.25">
      <c r="A151" s="63"/>
      <c r="B151" s="168"/>
      <c r="C151" s="168"/>
      <c r="D151" s="168"/>
      <c r="E151" s="168"/>
      <c r="F151" s="168"/>
      <c r="G151" s="168"/>
      <c r="H151" s="175"/>
      <c r="I151" s="176"/>
    </row>
    <row r="152" spans="1:27" s="1" customFormat="1" ht="19.149999999999999" customHeight="1" x14ac:dyDescent="0.25">
      <c r="A152" s="63"/>
      <c r="B152" s="168"/>
      <c r="C152" s="168"/>
      <c r="D152" s="168"/>
      <c r="E152" s="168"/>
      <c r="F152" s="168"/>
      <c r="G152" s="168"/>
      <c r="H152" s="175"/>
      <c r="I152" s="176"/>
    </row>
    <row r="153" spans="1:27" s="1" customFormat="1" ht="19.149999999999999" customHeight="1" x14ac:dyDescent="0.25">
      <c r="A153" s="63"/>
      <c r="B153" s="168"/>
      <c r="C153" s="168"/>
      <c r="D153" s="168"/>
      <c r="E153" s="168"/>
      <c r="F153" s="168"/>
      <c r="G153" s="168"/>
      <c r="H153" s="175"/>
      <c r="I153" s="176"/>
    </row>
    <row r="154" spans="1:27" s="1" customFormat="1" ht="19.149999999999999" customHeight="1" x14ac:dyDescent="0.25">
      <c r="A154" s="63"/>
      <c r="B154" s="168"/>
      <c r="C154" s="168"/>
      <c r="D154" s="168"/>
      <c r="E154" s="168"/>
      <c r="F154" s="168"/>
      <c r="G154" s="168"/>
      <c r="H154" s="175"/>
      <c r="I154" s="176"/>
      <c r="M154" s="63"/>
      <c r="N154" s="168"/>
      <c r="O154" s="168"/>
      <c r="P154" s="168"/>
      <c r="Q154" s="168"/>
      <c r="R154" s="168"/>
      <c r="S154" s="179"/>
      <c r="T154" s="179"/>
      <c r="U154" s="168"/>
      <c r="V154" s="168"/>
      <c r="W154" s="168"/>
      <c r="X154" s="168"/>
      <c r="Y154" s="168"/>
      <c r="Z154" s="168"/>
      <c r="AA154" s="168"/>
    </row>
    <row r="155" spans="1:27" s="1" customFormat="1" ht="19.149999999999999" customHeight="1" x14ac:dyDescent="0.25">
      <c r="A155" s="63"/>
      <c r="B155" s="168"/>
      <c r="C155" s="168"/>
      <c r="D155" s="168"/>
      <c r="E155" s="168"/>
      <c r="F155" s="168"/>
      <c r="G155" s="168"/>
      <c r="H155" s="175"/>
      <c r="I155" s="176"/>
      <c r="M155" s="63"/>
      <c r="N155" s="168"/>
      <c r="O155" s="168"/>
      <c r="P155" s="168"/>
      <c r="Q155" s="168"/>
      <c r="R155" s="168"/>
      <c r="S155" s="179"/>
      <c r="T155" s="179"/>
      <c r="U155" s="168"/>
      <c r="V155" s="168"/>
      <c r="W155" s="168"/>
      <c r="X155" s="168"/>
      <c r="Y155" s="168"/>
      <c r="Z155" s="168"/>
      <c r="AA155" s="168"/>
    </row>
    <row r="156" spans="1:27" s="1" customFormat="1" ht="19.149999999999999" customHeight="1" x14ac:dyDescent="0.25">
      <c r="A156" s="63"/>
      <c r="B156" s="168"/>
      <c r="C156" s="168"/>
      <c r="D156" s="168"/>
      <c r="E156" s="168"/>
      <c r="F156" s="168"/>
      <c r="G156" s="168"/>
      <c r="H156" s="175"/>
      <c r="I156" s="176"/>
      <c r="M156" s="63"/>
      <c r="N156" s="168"/>
      <c r="O156" s="168"/>
      <c r="P156" s="168"/>
      <c r="Q156" s="168"/>
      <c r="R156" s="168"/>
      <c r="S156" s="179"/>
      <c r="T156" s="179"/>
      <c r="U156" s="168"/>
      <c r="V156" s="168"/>
      <c r="W156" s="168"/>
      <c r="X156" s="168"/>
      <c r="Y156" s="168"/>
      <c r="Z156" s="168"/>
      <c r="AA156" s="168"/>
    </row>
    <row r="157" spans="1:27" ht="19.149999999999999" customHeight="1" x14ac:dyDescent="0.25">
      <c r="J157" s="1"/>
      <c r="K157" s="1"/>
      <c r="L157" s="1"/>
    </row>
    <row r="158" spans="1:27" ht="19.149999999999999" customHeight="1" x14ac:dyDescent="0.25">
      <c r="J158" s="1"/>
      <c r="K158" s="1"/>
    </row>
    <row r="159" spans="1:27" ht="19.149999999999999" customHeight="1" x14ac:dyDescent="0.25">
      <c r="J159" s="1"/>
      <c r="K159" s="1"/>
    </row>
    <row r="160" spans="1:27" ht="19.149999999999999" customHeight="1" x14ac:dyDescent="0.25">
      <c r="J160" s="4"/>
      <c r="K160" s="1"/>
    </row>
  </sheetData>
  <mergeCells count="13">
    <mergeCell ref="N19:P19"/>
    <mergeCell ref="B1:F1"/>
    <mergeCell ref="N4:P4"/>
    <mergeCell ref="N3:P3"/>
    <mergeCell ref="Q3:V3"/>
    <mergeCell ref="N18:P18"/>
    <mergeCell ref="Q18:V18"/>
    <mergeCell ref="N14:P14"/>
    <mergeCell ref="N8:P8"/>
    <mergeCell ref="Q8:V8"/>
    <mergeCell ref="N9:P9"/>
    <mergeCell ref="N13:P13"/>
    <mergeCell ref="Q13:V13"/>
  </mergeCells>
  <conditionalFormatting sqref="V5:V6 V10:V11 V15:V16 V20:V23">
    <cfRule type="containsText" dxfId="64" priority="6" operator="containsText" text="[ OK ]">
      <formula>NOT(ISERROR(SEARCH("[ OK ]",V5)))</formula>
    </cfRule>
  </conditionalFormatting>
  <conditionalFormatting sqref="V5:V6 V10:V11 V15:V16 V20:V23">
    <cfRule type="containsText" dxfId="63" priority="5" operator="containsText" text="[ NOT OK ]">
      <formula>NOT(ISERROR(SEARCH("[ NOT OK ]",V5)))</formula>
    </cfRule>
  </conditionalFormatting>
  <conditionalFormatting sqref="S5:S6 S10:S11 S15:S16">
    <cfRule type="containsText" dxfId="62" priority="3" operator="containsText" text="[ NOT OK ]">
      <formula>NOT(ISERROR(SEARCH("[ NOT OK ]",S5)))</formula>
    </cfRule>
    <cfRule type="containsText" dxfId="61" priority="4" operator="containsText" text="[ OK ]">
      <formula>NOT(ISERROR(SEARCH("[ OK ]",S5)))</formula>
    </cfRule>
  </conditionalFormatting>
  <conditionalFormatting sqref="Q5:Q6 Q10:Q11 Q15:Q16 T5:T6 T10:T11 T15:T16 T20:T23">
    <cfRule type="cellIs" dxfId="60" priority="1" operator="greaterThanOrEqual">
      <formula>0</formula>
    </cfRule>
    <cfRule type="cellIs" dxfId="59" priority="2" operator="lessThan">
      <formula>0</formula>
    </cfRule>
  </conditionalFormatting>
  <pageMargins left="0.7" right="0.7" top="0.75" bottom="0.75" header="0.3" footer="0.3"/>
  <pageSetup paperSize="9" orientation="portrait" horizontalDpi="4294967293" r:id="rId1"/>
  <ignoredErrors>
    <ignoredError sqref="Q15:V17 V21 Q19:V19 R18:V18 V20" evalError="1"/>
    <ignoredError sqref="T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About</vt:lpstr>
      <vt:lpstr>Input (1)</vt:lpstr>
      <vt:lpstr>Tabel</vt:lpstr>
      <vt:lpstr>Respon Spektrum</vt:lpstr>
      <vt:lpstr>Input (2) &amp; Process (1)</vt:lpstr>
      <vt:lpstr>Process (2)</vt:lpstr>
      <vt:lpstr>Process (3)</vt:lpstr>
      <vt:lpstr>Input (3) &amp; Process (4)</vt:lpstr>
      <vt:lpstr>Process (5)</vt:lpstr>
      <vt:lpstr>Process (6)</vt:lpstr>
      <vt:lpstr>Process (7)</vt:lpstr>
      <vt:lpstr>Input (4) &amp; Process (8)</vt:lpstr>
      <vt:lpstr>Output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2022-11-13T08:34:34Z</cp:lastPrinted>
  <dcterms:created xsi:type="dcterms:W3CDTF">2019-10-08T09:42:27Z</dcterms:created>
  <dcterms:modified xsi:type="dcterms:W3CDTF">2022-11-14T05:41:52Z</dcterms:modified>
</cp:coreProperties>
</file>